
<file path=[Content_Types].xml><?xml version="1.0" encoding="utf-8"?>
<Types xmlns="http://schemas.openxmlformats.org/package/2006/content-types">
  <Default Extension="data" ContentType="application/vnd.openxmlformats-officedocument.model+data"/>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pivotCache/pivotCacheDefinition2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slicers/slicer3.xml" ContentType="application/vnd.ms-excel.slicer+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12.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4.xml" ContentType="application/vnd.openxmlformats-officedocument.drawing+xml"/>
  <Override PartName="/xl/slicers/slicer4.xml" ContentType="application/vnd.ms-excel.slicer+xml"/>
  <Override PartName="/xl/timelines/timeline1.xml" ContentType="application/vnd.ms-excel.timeline+xml"/>
  <Override PartName="/xl/charts/chartEx1.xml" ContentType="application/vnd.ms-office.chartex+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Ex2.xml" ContentType="application/vnd.ms-office.chartex+xml"/>
  <Override PartName="/xl/charts/style16.xml" ContentType="application/vnd.ms-office.chartstyle+xml"/>
  <Override PartName="/xl/charts/colors1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drawings/drawing5.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21.xml" ContentType="application/vnd.openxmlformats-officedocument.drawingml.chart+xml"/>
  <Override PartName="/xl/charts/style22.xml" ContentType="application/vnd.ms-office.chartstyle+xml"/>
  <Override PartName="/xl/charts/colors22.xml" ContentType="application/vnd.ms-office.chartcolorstyle+xml"/>
  <Override PartName="/xl/charts/chart22.xml" ContentType="application/vnd.openxmlformats-officedocument.drawingml.chart+xml"/>
  <Override PartName="/xl/charts/style23.xml" ContentType="application/vnd.ms-office.chartstyle+xml"/>
  <Override PartName="/xl/charts/colors23.xml" ContentType="application/vnd.ms-office.chartcolorstyle+xml"/>
  <Override PartName="/xl/charts/chart23.xml" ContentType="application/vnd.openxmlformats-officedocument.drawingml.chart+xml"/>
  <Override PartName="/xl/charts/style24.xml" ContentType="application/vnd.ms-office.chartstyle+xml"/>
  <Override PartName="/xl/charts/colors24.xml" ContentType="application/vnd.ms-office.chartcolorstyle+xml"/>
  <Override PartName="/xl/charts/chart24.xml" ContentType="application/vnd.openxmlformats-officedocument.drawingml.chart+xml"/>
  <Override PartName="/xl/charts/style25.xml" ContentType="application/vnd.ms-office.chartstyle+xml"/>
  <Override PartName="/xl/charts/colors25.xml" ContentType="application/vnd.ms-office.chartcolorstyle+xml"/>
  <Override PartName="/xl/charts/chart25.xml" ContentType="application/vnd.openxmlformats-officedocument.drawingml.chart+xml"/>
  <Override PartName="/xl/charts/style26.xml" ContentType="application/vnd.ms-office.chartstyle+xml"/>
  <Override PartName="/xl/charts/colors26.xml" ContentType="application/vnd.ms-office.chartcolorstyle+xml"/>
  <Override PartName="/xl/charts/chart26.xml" ContentType="application/vnd.openxmlformats-officedocument.drawingml.chart+xml"/>
  <Override PartName="/xl/charts/style27.xml" ContentType="application/vnd.ms-office.chartstyle+xml"/>
  <Override PartName="/xl/charts/colors27.xml" ContentType="application/vnd.ms-office.chartcolorstyle+xml"/>
  <Override PartName="/xl/charts/chart27.xml" ContentType="application/vnd.openxmlformats-officedocument.drawingml.chart+xml"/>
  <Override PartName="/xl/charts/style28.xml" ContentType="application/vnd.ms-office.chartstyle+xml"/>
  <Override PartName="/xl/charts/colors28.xml" ContentType="application/vnd.ms-office.chartcolorstyle+xml"/>
  <Override PartName="/xl/charts/chartEx3.xml" ContentType="application/vnd.ms-office.chartex+xml"/>
  <Override PartName="/xl/charts/style29.xml" ContentType="application/vnd.ms-office.chartstyle+xml"/>
  <Override PartName="/xl/charts/colors29.xml" ContentType="application/vnd.ms-office.chartcolorstyle+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charts/chart29.xml" ContentType="application/vnd.openxmlformats-officedocument.drawingml.chart+xml"/>
  <Override PartName="/xl/charts/style31.xml" ContentType="application/vnd.ms-office.chartstyle+xml"/>
  <Override PartName="/xl/charts/colors31.xml" ContentType="application/vnd.ms-office.chartcolorstyle+xml"/>
  <Override PartName="/xl/charts/chart30.xml" ContentType="application/vnd.openxmlformats-officedocument.drawingml.chart+xml"/>
  <Override PartName="/xl/charts/style32.xml" ContentType="application/vnd.ms-office.chartstyle+xml"/>
  <Override PartName="/xl/charts/colors32.xml" ContentType="application/vnd.ms-office.chartcolorstyle+xml"/>
  <Override PartName="/xl/charts/chartEx4.xml" ContentType="application/vnd.ms-office.chartex+xml"/>
  <Override PartName="/xl/charts/style33.xml" ContentType="application/vnd.ms-office.chartstyle+xml"/>
  <Override PartName="/xl/charts/colors3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hidePivotFieldList="1"/>
  <mc:AlternateContent xmlns:mc="http://schemas.openxmlformats.org/markup-compatibility/2006">
    <mc:Choice Requires="x15">
      <x15ac:absPath xmlns:x15ac="http://schemas.microsoft.com/office/spreadsheetml/2010/11/ac" url="C:\Sunny\Files\Excel\Unguided Project\Bank Loan\"/>
    </mc:Choice>
  </mc:AlternateContent>
  <xr:revisionPtr revIDLastSave="0" documentId="13_ncr:1_{33ACC872-DCAB-4773-B36E-A86217B88B45}" xr6:coauthVersionLast="47" xr6:coauthVersionMax="47" xr10:uidLastSave="{00000000-0000-0000-0000-000000000000}"/>
  <bookViews>
    <workbookView xWindow="-108" yWindow="-108" windowWidth="23256" windowHeight="12456" xr2:uid="{00000000-000D-0000-FFFF-FFFF00000000}"/>
  </bookViews>
  <sheets>
    <sheet name="Executive Summary View" sheetId="1" r:id="rId1"/>
    <sheet name="Loan Quality &amp; Risk Overview" sheetId="4" r:id="rId2"/>
    <sheet name="Fraud &amp; Anomaly Detection" sheetId="5" r:id="rId3"/>
    <sheet name="Economic &amp; Geo View" sheetId="6" r:id="rId4"/>
    <sheet name="Sheet Design" sheetId="2" state="hidden" r:id="rId5"/>
  </sheets>
  <definedNames>
    <definedName name="_xlchart.v1.11" hidden="1">'Sheet Design'!$I$274:$I$278</definedName>
    <definedName name="_xlchart.v1.12" hidden="1">'Sheet Design'!$J$273</definedName>
    <definedName name="_xlchart.v1.13" hidden="1">'Sheet Design'!$J$274:$J$278</definedName>
    <definedName name="_xlchart.v1.4" hidden="1">'Sheet Design'!$I$274:$I$278</definedName>
    <definedName name="_xlchart.v1.5" hidden="1">'Sheet Design'!$J$273</definedName>
    <definedName name="_xlchart.v1.6" hidden="1">'Sheet Design'!$J$274:$J$278</definedName>
    <definedName name="_xlchart.v5.0" hidden="1">'Sheet Design'!$R$153</definedName>
    <definedName name="_xlchart.v5.1" hidden="1">'Sheet Design'!$R$154:$R$203</definedName>
    <definedName name="_xlchart.v5.10" hidden="1">'Sheet Design'!$S$154:$S$203</definedName>
    <definedName name="_xlchart.v5.2" hidden="1">'Sheet Design'!$S$153</definedName>
    <definedName name="_xlchart.v5.3" hidden="1">'Sheet Design'!$S$154:$S$203</definedName>
    <definedName name="_xlchart.v5.7" hidden="1">'Sheet Design'!$R$153</definedName>
    <definedName name="_xlchart.v5.8" hidden="1">'Sheet Design'!$R$154:$R$203</definedName>
    <definedName name="_xlchart.v5.9" hidden="1">'Sheet Design'!$S$153</definedName>
    <definedName name="Slicer_address_state">#N/A</definedName>
    <definedName name="Slicer_borrower_experience_flag">#N/A</definedName>
    <definedName name="Slicer_emp_length">#N/A</definedName>
    <definedName name="Slicer_grade">#N/A</definedName>
    <definedName name="Slicer_home_ownership">#N/A</definedName>
    <definedName name="Slicer_Loan_Quality">#N/A</definedName>
    <definedName name="Slicer_loan_status">#N/A</definedName>
    <definedName name="Slicer_RiskFlag">#N/A</definedName>
    <definedName name="Slicer_state_unemployment_flag">#N/A</definedName>
    <definedName name="Slicer_term_months">#N/A</definedName>
    <definedName name="Timeline_issue_date">#N/A</definedName>
  </definedNames>
  <calcPr calcId="191029"/>
  <pivotCaches>
    <pivotCache cacheId="0" r:id="rId6"/>
    <pivotCache cacheId="133" r:id="rId7"/>
    <pivotCache cacheId="136" r:id="rId8"/>
    <pivotCache cacheId="139" r:id="rId9"/>
    <pivotCache cacheId="142" r:id="rId10"/>
    <pivotCache cacheId="145" r:id="rId11"/>
    <pivotCache cacheId="148" r:id="rId12"/>
    <pivotCache cacheId="151" r:id="rId13"/>
    <pivotCache cacheId="154" r:id="rId14"/>
    <pivotCache cacheId="157" r:id="rId15"/>
    <pivotCache cacheId="163" r:id="rId16"/>
    <pivotCache cacheId="166" r:id="rId17"/>
    <pivotCache cacheId="169" r:id="rId18"/>
    <pivotCache cacheId="172" r:id="rId19"/>
    <pivotCache cacheId="175" r:id="rId20"/>
    <pivotCache cacheId="178" r:id="rId21"/>
    <pivotCache cacheId="181" r:id="rId22"/>
    <pivotCache cacheId="187" r:id="rId23"/>
    <pivotCache cacheId="277" r:id="rId24"/>
    <pivotCache cacheId="280" r:id="rId25"/>
    <pivotCache cacheId="283" r:id="rId26"/>
    <pivotCache cacheId="286" r:id="rId27"/>
    <pivotCache cacheId="289" r:id="rId28"/>
    <pivotCache cacheId="292" r:id="rId29"/>
    <pivotCache cacheId="295" r:id="rId30"/>
    <pivotCache cacheId="298" r:id="rId31"/>
  </pivotCaches>
  <extLst>
    <ext xmlns:x14="http://schemas.microsoft.com/office/spreadsheetml/2009/9/main" uri="{876F7934-8845-4945-9796-88D515C7AA90}">
      <x14:pivotCaches>
        <pivotCache cacheId="26" r:id="rId32"/>
        <pivotCache cacheId="27" r:id="rId33"/>
      </x14:pivotCaches>
    </ext>
    <ext xmlns:x14="http://schemas.microsoft.com/office/spreadsheetml/2009/9/main" uri="{BBE1A952-AA13-448e-AADC-164F8A28A991}">
      <x14:slicerCaches>
        <x14:slicerCache r:id="rId34"/>
        <x14:slicerCache r:id="rId35"/>
        <x14:slicerCache r:id="rId36"/>
        <x14:slicerCache r:id="rId37"/>
        <x14:slicerCache r:id="rId38"/>
        <x14:slicerCache r:id="rId39"/>
        <x14:slicerCache r:id="rId40"/>
        <x14:slicerCache r:id="rId41"/>
        <x14:slicerCache r:id="rId42"/>
        <x14:slicerCache r:id="rId4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28" r:id="rId44"/>
      </x15:timelineCachePivotCaches>
    </ext>
    <ext xmlns:x15="http://schemas.microsoft.com/office/spreadsheetml/2010/11/main" uri="{D0CA8CA8-9F24-4464-BF8E-62219DCF47F9}">
      <x15:timelineCacheRefs>
        <x15:timelineCacheRef r:id="rId4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w_data_2e4c726b-6c39-4a9b-9bef-73e3c364a8f2" name="raw_data" connection="Query - raw_data"/>
          <x15:modelTable id="unemplyoment_rate_9bfc82dc-89e2-43c5-849c-1c3c2280a6db" name="unemplyoment_rate" connection="Query - unemployment_rate"/>
          <x15:modelTable id="bank_loan_data_0e594754-0c80-459f-9092-126f0e531888" name="bank_loan_data" connection="Query - bank_loan_data"/>
        </x15:modelTables>
        <x15:modelRelationships>
          <x15:modelRelationship fromTable="bank_loan_data" fromColumn="address_state" toTable="unemplyoment_rate" toColumn="state_abbreviation"/>
        </x15:modelRelationships>
        <x15:extLst>
          <ext xmlns:x16="http://schemas.microsoft.com/office/spreadsheetml/2014/11/main" uri="{9835A34E-60A6-4A7C-AAB8-D5F71C897F49}">
            <x16:modelTimeGroupings>
              <x16:modelTimeGrouping tableName="bank_loan_data" columnName="issue_date" columnId="issue_date">
                <x16:calculatedTimeColumn columnName="issue_date (Month Index)" columnId="issue_date (Month Index)" contentType="monthsindex" isSelected="1"/>
                <x16:calculatedTimeColumn columnName="issue_date (Month)" columnId="issue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278" i="2" l="1"/>
  <c r="I277" i="2"/>
  <c r="I276" i="2"/>
  <c r="I275" i="2"/>
  <c r="I274" i="2"/>
  <c r="G206" i="2"/>
  <c r="G205" i="2"/>
  <c r="G204" i="2"/>
  <c r="R203" i="2"/>
  <c r="G203" i="2"/>
  <c r="R202" i="2"/>
  <c r="G202" i="2"/>
  <c r="R201" i="2"/>
  <c r="G201" i="2"/>
  <c r="R200" i="2"/>
  <c r="G200" i="2"/>
  <c r="R199" i="2"/>
  <c r="G199" i="2"/>
  <c r="R198" i="2"/>
  <c r="G198" i="2"/>
  <c r="R197" i="2"/>
  <c r="G197" i="2"/>
  <c r="R196" i="2"/>
  <c r="G196" i="2"/>
  <c r="R195" i="2"/>
  <c r="G195" i="2"/>
  <c r="R194" i="2"/>
  <c r="G194" i="2"/>
  <c r="R193" i="2"/>
  <c r="G193" i="2"/>
  <c r="R192" i="2"/>
  <c r="G192" i="2"/>
  <c r="R191" i="2"/>
  <c r="G191" i="2"/>
  <c r="R190" i="2"/>
  <c r="G190" i="2"/>
  <c r="R189" i="2"/>
  <c r="G189" i="2"/>
  <c r="R188" i="2"/>
  <c r="G188" i="2"/>
  <c r="R187" i="2"/>
  <c r="G187" i="2"/>
  <c r="R186" i="2"/>
  <c r="G186" i="2"/>
  <c r="R185" i="2"/>
  <c r="G185" i="2"/>
  <c r="R184" i="2"/>
  <c r="G184" i="2"/>
  <c r="R183" i="2"/>
  <c r="G183" i="2"/>
  <c r="R182" i="2"/>
  <c r="G182" i="2"/>
  <c r="R181" i="2"/>
  <c r="G181" i="2"/>
  <c r="R180" i="2"/>
  <c r="G180" i="2"/>
  <c r="R179" i="2"/>
  <c r="R178" i="2"/>
  <c r="R177" i="2"/>
  <c r="R176" i="2"/>
  <c r="R175" i="2"/>
  <c r="R174" i="2"/>
  <c r="R173" i="2"/>
  <c r="R172" i="2"/>
  <c r="R171" i="2"/>
  <c r="R170" i="2"/>
  <c r="R169" i="2"/>
  <c r="R168" i="2"/>
  <c r="R167" i="2"/>
  <c r="R166" i="2"/>
  <c r="R165" i="2"/>
  <c r="R164" i="2"/>
  <c r="R163" i="2"/>
  <c r="R162" i="2"/>
  <c r="R161" i="2"/>
  <c r="R160" i="2"/>
  <c r="R159" i="2"/>
  <c r="R158" i="2"/>
  <c r="R157" i="2"/>
  <c r="R156" i="2"/>
  <c r="R155" i="2"/>
  <c r="R154" i="2"/>
  <c r="S192" i="2"/>
  <c r="U171" i="2"/>
  <c r="U179" i="2"/>
  <c r="U190" i="2"/>
  <c r="U168" i="2"/>
  <c r="U173" i="2"/>
  <c r="S164" i="2"/>
  <c r="U169" i="2"/>
  <c r="T192" i="2"/>
  <c r="U200" i="2"/>
  <c r="T156" i="2"/>
  <c r="S162" i="2"/>
  <c r="U158" i="2"/>
  <c r="S191" i="2"/>
  <c r="T199" i="2"/>
  <c r="S169" i="2"/>
  <c r="T185" i="2"/>
  <c r="U164" i="2"/>
  <c r="S158" i="2"/>
  <c r="U163" i="2"/>
  <c r="S187" i="2"/>
  <c r="T195" i="2"/>
  <c r="T200" i="2"/>
  <c r="S159" i="2"/>
  <c r="T184" i="2"/>
  <c r="S194" i="2"/>
  <c r="S163" i="2"/>
  <c r="U160" i="2"/>
  <c r="U174" i="2"/>
  <c r="S155" i="2"/>
  <c r="S168" i="2"/>
  <c r="U166" i="2"/>
  <c r="S170" i="2"/>
  <c r="S202" i="2"/>
  <c r="S172" i="2"/>
  <c r="U165" i="2"/>
  <c r="U155" i="2"/>
  <c r="S195" i="2"/>
  <c r="T203" i="2"/>
  <c r="U192" i="2"/>
  <c r="S157" i="2"/>
  <c r="S173" i="2"/>
  <c r="S160" i="2"/>
  <c r="S180" i="2"/>
  <c r="U162" i="2"/>
  <c r="U161" i="2"/>
  <c r="T201" i="2"/>
  <c r="U185" i="2"/>
  <c r="S190" i="2"/>
  <c r="S156" i="2"/>
  <c r="S179" i="2"/>
  <c r="T178" i="2"/>
  <c r="S182" i="2"/>
  <c r="S183" i="2"/>
  <c r="T179" i="2"/>
  <c r="U181" i="2"/>
  <c r="T160" i="2"/>
  <c r="T163" i="2"/>
  <c r="T165" i="2"/>
  <c r="U176" i="2"/>
  <c r="T202" i="2"/>
  <c r="U159" i="2"/>
  <c r="T191" i="2"/>
  <c r="S196" i="2"/>
  <c r="U154" i="2"/>
  <c r="S175" i="2"/>
  <c r="U188" i="2"/>
  <c r="U193" i="2"/>
  <c r="S200" i="2"/>
  <c r="U196" i="2"/>
  <c r="S184" i="2"/>
  <c r="T177" i="2"/>
  <c r="T189" i="2"/>
  <c r="U191" i="2"/>
  <c r="U189" i="2"/>
  <c r="S167" i="2"/>
  <c r="T155" i="2"/>
  <c r="S176" i="2"/>
  <c r="T162" i="2"/>
  <c r="S178" i="2"/>
  <c r="S197" i="2"/>
  <c r="U156" i="2"/>
  <c r="S186" i="2"/>
  <c r="U194" i="2"/>
  <c r="T187" i="2"/>
  <c r="S166" i="2"/>
  <c r="T183" i="2"/>
  <c r="T188" i="2"/>
  <c r="S188" i="2"/>
  <c r="U184" i="2"/>
  <c r="S161" i="2"/>
  <c r="T172" i="2"/>
  <c r="T176" i="2"/>
  <c r="U203" i="2"/>
  <c r="T170" i="2"/>
  <c r="U182" i="2"/>
  <c r="S189" i="2"/>
  <c r="S171" i="2"/>
  <c r="U172" i="2"/>
  <c r="S193" i="2"/>
  <c r="U170" i="2"/>
  <c r="T159" i="2"/>
  <c r="U195" i="2"/>
  <c r="U198" i="2"/>
  <c r="T166" i="2"/>
  <c r="T180" i="2"/>
  <c r="T182" i="2"/>
  <c r="U175" i="2"/>
  <c r="U157" i="2"/>
  <c r="T190" i="2"/>
  <c r="T193" i="2"/>
  <c r="T173" i="2"/>
  <c r="S201" i="2"/>
  <c r="U180" i="2"/>
  <c r="S154" i="2"/>
  <c r="T174" i="2"/>
  <c r="S165" i="2"/>
  <c r="S185" i="2"/>
  <c r="U186" i="2"/>
  <c r="T164" i="2"/>
  <c r="U199" i="2"/>
  <c r="T175" i="2"/>
  <c r="S198" i="2"/>
  <c r="T171" i="2"/>
  <c r="S177" i="2"/>
  <c r="T186" i="2"/>
  <c r="T167" i="2"/>
  <c r="U187" i="2"/>
  <c r="S199" i="2"/>
  <c r="T181" i="2"/>
  <c r="T194" i="2"/>
  <c r="U201" i="2"/>
  <c r="T168" i="2"/>
  <c r="S181" i="2"/>
  <c r="T158" i="2"/>
  <c r="U197" i="2"/>
  <c r="T154" i="2"/>
  <c r="U167" i="2"/>
  <c r="U183" i="2"/>
  <c r="T161" i="2"/>
  <c r="T169" i="2"/>
  <c r="S174" i="2"/>
  <c r="U178" i="2"/>
  <c r="U202" i="2"/>
  <c r="U177" i="2"/>
  <c r="T198" i="2"/>
  <c r="T197" i="2"/>
  <c r="T157" i="2"/>
  <c r="S203" i="2"/>
  <c r="T196" i="2"/>
  <c r="L118" i="2"/>
  <c r="K4" i="2"/>
  <c r="K118" i="2"/>
  <c r="J4" i="2"/>
  <c r="D4" i="2"/>
  <c r="L4" i="2"/>
  <c r="F4" i="2"/>
  <c r="I4" i="2"/>
  <c r="N118" i="2"/>
  <c r="E4" i="2"/>
  <c r="C4" i="2"/>
  <c r="M118" i="2"/>
  <c r="G4" i="2"/>
  <c r="B4" i="2"/>
  <c r="H4" i="2"/>
  <c r="I198" i="2"/>
  <c r="H201" i="2"/>
  <c r="H190" i="2"/>
  <c r="H197" i="2"/>
  <c r="I193" i="2"/>
  <c r="I183" i="2"/>
  <c r="H202" i="2"/>
  <c r="I192" i="2"/>
  <c r="H180" i="2"/>
  <c r="H192" i="2"/>
  <c r="I202" i="2"/>
  <c r="H194" i="2"/>
  <c r="I200" i="2"/>
  <c r="H185" i="2"/>
  <c r="J274" i="2"/>
  <c r="I184" i="2"/>
  <c r="H199" i="2"/>
  <c r="I194" i="2"/>
  <c r="P265" i="2"/>
  <c r="O265" i="2"/>
  <c r="I201" i="2"/>
  <c r="I203" i="2"/>
  <c r="I181" i="2"/>
  <c r="H203" i="2"/>
  <c r="J265" i="2"/>
  <c r="H195" i="2"/>
  <c r="I196" i="2"/>
  <c r="H198" i="2"/>
  <c r="L265" i="2"/>
  <c r="J276" i="2"/>
  <c r="I199" i="2"/>
  <c r="H200" i="2"/>
  <c r="I187" i="2"/>
  <c r="J278" i="2"/>
  <c r="H181" i="2"/>
  <c r="H204" i="2"/>
  <c r="I195" i="2"/>
  <c r="I205" i="2"/>
  <c r="H188" i="2"/>
  <c r="H187" i="2"/>
  <c r="M265" i="2"/>
  <c r="H196" i="2"/>
  <c r="I197" i="2"/>
  <c r="K265" i="2"/>
  <c r="I182" i="2"/>
  <c r="H191" i="2"/>
  <c r="H193" i="2"/>
  <c r="I188" i="2"/>
  <c r="H183" i="2"/>
  <c r="H206" i="2"/>
  <c r="H184" i="2"/>
  <c r="I185" i="2"/>
  <c r="I191" i="2"/>
  <c r="H189" i="2"/>
  <c r="N265" i="2"/>
  <c r="H182" i="2"/>
  <c r="I190" i="2"/>
  <c r="J277" i="2"/>
  <c r="J275" i="2"/>
  <c r="I180" i="2"/>
  <c r="I206" i="2"/>
  <c r="I189" i="2"/>
  <c r="I204" i="2"/>
  <c r="I186" i="2"/>
  <c r="H205" i="2"/>
  <c r="H186"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28608AA-E9EA-44E7-B849-8356396FF7D0}" name="Query - bank_loan_data" description="Connection to the 'bank_loan_data' query in the workbook." type="100" refreshedVersion="8" minRefreshableVersion="5">
    <extLst>
      <ext xmlns:x15="http://schemas.microsoft.com/office/spreadsheetml/2010/11/main" uri="{DE250136-89BD-433C-8126-D09CA5730AF9}">
        <x15:connection id="8a045229-ed9b-4e60-8627-70425c28e931"/>
      </ext>
    </extLst>
  </connection>
  <connection id="2" xr16:uid="{3BE8FA73-4A86-4D48-973F-3D5D4B71190E}" name="Query - raw_data" description="Connection to the 'raw_data' query in the workbook." type="100" refreshedVersion="8" minRefreshableVersion="5">
    <extLst>
      <ext xmlns:x15="http://schemas.microsoft.com/office/spreadsheetml/2010/11/main" uri="{DE250136-89BD-433C-8126-D09CA5730AF9}">
        <x15:connection id="7a54b065-a1d1-4a94-87f2-da85a4812a14">
          <x15:oledbPr connection="Provider=Microsoft.Mashup.OleDb.1;Data Source=$Workbook$;Location=raw_data;Extended Properties=&quot;&quot;">
            <x15:dbTables>
              <x15:dbTable name="raw_data"/>
            </x15:dbTables>
          </x15:oledbPr>
        </x15:connection>
      </ext>
    </extLst>
  </connection>
  <connection id="3" xr16:uid="{68C3C9CB-D193-4337-9142-CF194AF759A3}" name="Query - unemployment_rate" description="Connection to the 'unemployment_rate' query in the workbook." type="100" refreshedVersion="8" minRefreshableVersion="5">
    <extLst>
      <ext xmlns:x15="http://schemas.microsoft.com/office/spreadsheetml/2010/11/main" uri="{DE250136-89BD-433C-8126-D09CA5730AF9}">
        <x15:connection id="582ef6fe-e3a2-43b3-a215-73ec44c394cd">
          <x15:oledbPr connection="Provider=Microsoft.Mashup.OleDb.1;Data Source=$Workbook$;Location=unemployment_rate;Extended Properties=&quot;&quot;">
            <x15:dbTables>
              <x15:dbTable name="unemployment_rate"/>
            </x15:dbTables>
          </x15:oledbPr>
        </x15:connection>
      </ext>
    </extLst>
  </connection>
  <connection id="4" xr16:uid="{38CAF457-5FE8-4FEA-961D-E17BF97F7B4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bank_loan_data].[fraud_detection_flag].&amp;[Potential Fraud]}"/>
  </metadataStrings>
  <mdxMetadata count="1">
    <mdx n="0" f="s">
      <ms ns="1" c="0"/>
    </mdx>
  </mdxMetadata>
  <valueMetadata count="1">
    <bk>
      <rc t="1" v="0"/>
    </bk>
  </valueMetadata>
</metadata>
</file>

<file path=xl/sharedStrings.xml><?xml version="1.0" encoding="utf-8"?>
<sst xmlns="http://schemas.openxmlformats.org/spreadsheetml/2006/main" count="430" uniqueCount="142">
  <si>
    <t>Grand Total</t>
  </si>
  <si>
    <t>Expected Loan Growth</t>
  </si>
  <si>
    <t>expected total payment</t>
  </si>
  <si>
    <t>Total Payment</t>
  </si>
  <si>
    <t>Row Labels</t>
  </si>
  <si>
    <t>MORTGAGE</t>
  </si>
  <si>
    <t>NONE</t>
  </si>
  <si>
    <t>OTHER</t>
  </si>
  <si>
    <t>OWN</t>
  </si>
  <si>
    <t>RENT</t>
  </si>
  <si>
    <t>Total Amount Disbursed</t>
  </si>
  <si>
    <t>Total Disbursed Loans</t>
  </si>
  <si>
    <t>Jan</t>
  </si>
  <si>
    <t>Feb</t>
  </si>
  <si>
    <t>Mar</t>
  </si>
  <si>
    <t>Apr</t>
  </si>
  <si>
    <t>May</t>
  </si>
  <si>
    <t>Jun</t>
  </si>
  <si>
    <t>Jul</t>
  </si>
  <si>
    <t>Aug</t>
  </si>
  <si>
    <t>Sep</t>
  </si>
  <si>
    <t>Oct</t>
  </si>
  <si>
    <t>Nov</t>
  </si>
  <si>
    <t>Dec</t>
  </si>
  <si>
    <t>Avg DTI</t>
  </si>
  <si>
    <t>Avg Interest Rate</t>
  </si>
  <si>
    <t>Expected paid %</t>
  </si>
  <si>
    <t>High Risk State</t>
  </si>
  <si>
    <t>Low Risk State</t>
  </si>
  <si>
    <t>Column Labels</t>
  </si>
  <si>
    <t>High Risk</t>
  </si>
  <si>
    <t>Low/Medium Risk</t>
  </si>
  <si>
    <t>Active Loans</t>
  </si>
  <si>
    <t>Charged Off/Defaulted Loans</t>
  </si>
  <si>
    <t>Closed Loans</t>
  </si>
  <si>
    <t>KPI's</t>
  </si>
  <si>
    <t>CA</t>
  </si>
  <si>
    <t>FL</t>
  </si>
  <si>
    <t>NJ</t>
  </si>
  <si>
    <t>NY</t>
  </si>
  <si>
    <t>TX</t>
  </si>
  <si>
    <t>A</t>
  </si>
  <si>
    <t>B</t>
  </si>
  <si>
    <t>C</t>
  </si>
  <si>
    <t>D</t>
  </si>
  <si>
    <t>E</t>
  </si>
  <si>
    <t>F</t>
  </si>
  <si>
    <t>G</t>
  </si>
  <si>
    <t>Charged Off</t>
  </si>
  <si>
    <t>Current</t>
  </si>
  <si>
    <t>Fully Paid</t>
  </si>
  <si>
    <t>Experienced</t>
  </si>
  <si>
    <t>New/Thin File</t>
  </si>
  <si>
    <t>Bad Loan</t>
  </si>
  <si>
    <t>Good Loan</t>
  </si>
  <si>
    <t>% Charged Off Loans</t>
  </si>
  <si>
    <t/>
  </si>
  <si>
    <t>Repayment Efficiency</t>
  </si>
  <si>
    <t>Received Amount</t>
  </si>
  <si>
    <t>Defaulted/Charged Off</t>
  </si>
  <si>
    <t>Early Payoff</t>
  </si>
  <si>
    <t>In Progress</t>
  </si>
  <si>
    <t>Paid on Schedule</t>
  </si>
  <si>
    <t>Paid with Extra/Interest</t>
  </si>
  <si>
    <t xml:space="preserve"> </t>
  </si>
  <si>
    <t>Funded Loans</t>
  </si>
  <si>
    <t>Funded Amount</t>
  </si>
  <si>
    <t>Fraud %</t>
  </si>
  <si>
    <t>Risk %</t>
  </si>
  <si>
    <t>Expected Amount</t>
  </si>
  <si>
    <t>Growth % (Actuals vs Expected)</t>
  </si>
  <si>
    <t>Clean</t>
  </si>
  <si>
    <t>Potential Fraud</t>
  </si>
  <si>
    <t>fraud_detection_flag</t>
  </si>
  <si>
    <t>AL</t>
  </si>
  <si>
    <t>AK</t>
  </si>
  <si>
    <t>AZ</t>
  </si>
  <si>
    <t>AR</t>
  </si>
  <si>
    <t>CO</t>
  </si>
  <si>
    <t>CT</t>
  </si>
  <si>
    <t>DE</t>
  </si>
  <si>
    <t>DC</t>
  </si>
  <si>
    <t>GA</t>
  </si>
  <si>
    <t>HI</t>
  </si>
  <si>
    <t>ID</t>
  </si>
  <si>
    <t>IL</t>
  </si>
  <si>
    <t>IN</t>
  </si>
  <si>
    <t>KS</t>
  </si>
  <si>
    <t>KY</t>
  </si>
  <si>
    <t>LA</t>
  </si>
  <si>
    <t>ME</t>
  </si>
  <si>
    <t>MD</t>
  </si>
  <si>
    <t>MA</t>
  </si>
  <si>
    <t>MI</t>
  </si>
  <si>
    <t>MN</t>
  </si>
  <si>
    <t>MS</t>
  </si>
  <si>
    <t>MO</t>
  </si>
  <si>
    <t>MT</t>
  </si>
  <si>
    <t>NV</t>
  </si>
  <si>
    <t>NH</t>
  </si>
  <si>
    <t>NM</t>
  </si>
  <si>
    <t>NC</t>
  </si>
  <si>
    <t>OH</t>
  </si>
  <si>
    <t>OK</t>
  </si>
  <si>
    <t>OR</t>
  </si>
  <si>
    <t>PA</t>
  </si>
  <si>
    <t>RI</t>
  </si>
  <si>
    <t>SC</t>
  </si>
  <si>
    <t>SD</t>
  </si>
  <si>
    <t>TN</t>
  </si>
  <si>
    <t>UT</t>
  </si>
  <si>
    <t>VT</t>
  </si>
  <si>
    <t>VA</t>
  </si>
  <si>
    <t>WA</t>
  </si>
  <si>
    <t>WV</t>
  </si>
  <si>
    <t>WI</t>
  </si>
  <si>
    <t>WY</t>
  </si>
  <si>
    <t>Overpaid</t>
  </si>
  <si>
    <t>Underpaid</t>
  </si>
  <si>
    <t>No. of Clean Loans</t>
  </si>
  <si>
    <t>No. of Potential frauds</t>
  </si>
  <si>
    <t>% Fraud Loans</t>
  </si>
  <si>
    <t>Average Repayment Efficiency</t>
  </si>
  <si>
    <t>Active Repayment</t>
  </si>
  <si>
    <t>Closed/Incomplete</t>
  </si>
  <si>
    <t>Ownership Flags</t>
  </si>
  <si>
    <t>Avg Loan Amount</t>
  </si>
  <si>
    <t>IA</t>
  </si>
  <si>
    <t>NE</t>
  </si>
  <si>
    <t>Sates</t>
  </si>
  <si>
    <t>Unemployment Rate</t>
  </si>
  <si>
    <t>% Charged Off</t>
  </si>
  <si>
    <t>Avg Loan Amt</t>
  </si>
  <si>
    <t>Bottom 5 States with Highest Fraudulent %</t>
  </si>
  <si>
    <t>Top 5 States with Lowest Fraudulent %</t>
  </si>
  <si>
    <t>States</t>
  </si>
  <si>
    <t>Avg Annual Inc</t>
  </si>
  <si>
    <t>Avg Int Rate</t>
  </si>
  <si>
    <t>Unemp Rate</t>
  </si>
  <si>
    <t>Home Ownership</t>
  </si>
  <si>
    <t>Total Funded Amount</t>
  </si>
  <si>
    <t>Total Received Amount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</si>
</sst>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9">
    <numFmt numFmtId="164" formatCode="0.00%;\-0.00%;0.00%"/>
    <numFmt numFmtId="165" formatCode="\$0.0,,&quot;M&quot;"/>
    <numFmt numFmtId="166" formatCode="0.0,&quot;K&quot;"/>
    <numFmt numFmtId="167" formatCode="0.00,&quot;K&quot;"/>
    <numFmt numFmtId="168" formatCode="\$0,,&quot;M&quot;"/>
    <numFmt numFmtId="169" formatCode=";;"/>
    <numFmt numFmtId="170" formatCode="\$0.0,&quot;K&quot;"/>
    <numFmt numFmtId="171" formatCode="0.0"/>
    <numFmt numFmtId="172" formatCode="0.0%"/>
  </numFmts>
  <fonts count="3" x14ac:knownFonts="1">
    <font>
      <sz val="11"/>
      <color theme="1"/>
      <name val="Calibri"/>
      <family val="2"/>
      <scheme val="minor"/>
    </font>
    <font>
      <sz val="11"/>
      <color theme="1"/>
      <name val="Calibri"/>
      <family val="2"/>
      <scheme val="minor"/>
    </font>
    <font>
      <sz val="11"/>
      <color rgb="FF843C0C"/>
      <name val="Calibri"/>
      <family val="2"/>
      <scheme val="minor"/>
    </font>
  </fonts>
  <fills count="8">
    <fill>
      <patternFill patternType="none"/>
    </fill>
    <fill>
      <patternFill patternType="gray125"/>
    </fill>
    <fill>
      <patternFill patternType="solid">
        <fgColor rgb="FFF4F4F4"/>
        <bgColor indexed="64"/>
      </patternFill>
    </fill>
    <fill>
      <patternFill patternType="solid">
        <fgColor rgb="FFEAF6FB"/>
        <bgColor indexed="64"/>
      </patternFill>
    </fill>
    <fill>
      <patternFill patternType="solid">
        <fgColor rgb="FFFFF2F2"/>
        <bgColor indexed="64"/>
      </patternFill>
    </fill>
    <fill>
      <patternFill patternType="solid">
        <fgColor rgb="FFF1F9F3"/>
        <bgColor indexed="64"/>
      </patternFill>
    </fill>
    <fill>
      <patternFill patternType="solid">
        <fgColor theme="7" tint="0.79998168889431442"/>
        <bgColor indexed="64"/>
      </patternFill>
    </fill>
    <fill>
      <patternFill patternType="solid">
        <fgColor theme="9" tint="0.79998168889431442"/>
        <bgColor indexed="64"/>
      </patternFill>
    </fill>
  </fills>
  <borders count="19">
    <border>
      <left/>
      <right/>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style="thin">
        <color indexed="64"/>
      </top>
      <bottom/>
      <diagonal/>
    </border>
  </borders>
  <cellStyleXfs count="2">
    <xf numFmtId="0" fontId="0" fillId="0" borderId="0"/>
    <xf numFmtId="9" fontId="1" fillId="0" borderId="0" applyFont="0" applyFill="0" applyBorder="0" applyAlignment="0" applyProtection="0"/>
  </cellStyleXfs>
  <cellXfs count="80">
    <xf numFmtId="0" fontId="0" fillId="0" borderId="0" xfId="0"/>
    <xf numFmtId="0" fontId="0" fillId="0" borderId="0" xfId="0" pivotButton="1"/>
    <xf numFmtId="164" fontId="0" fillId="0" borderId="0" xfId="0" applyNumberFormat="1"/>
    <xf numFmtId="0" fontId="0" fillId="0" borderId="0" xfId="0" applyAlignment="1">
      <alignment horizontal="left"/>
    </xf>
    <xf numFmtId="1" fontId="0" fillId="0" borderId="0" xfId="0" applyNumberFormat="1"/>
    <xf numFmtId="165" fontId="0" fillId="0" borderId="0" xfId="0" applyNumberFormat="1"/>
    <xf numFmtId="0" fontId="0" fillId="0" borderId="5" xfId="0" applyBorder="1"/>
    <xf numFmtId="0" fontId="0" fillId="0" borderId="6" xfId="0" applyBorder="1"/>
    <xf numFmtId="0" fontId="0" fillId="0" borderId="7" xfId="0" applyBorder="1"/>
    <xf numFmtId="10" fontId="0" fillId="0" borderId="3" xfId="0" applyNumberFormat="1" applyBorder="1"/>
    <xf numFmtId="166" fontId="0" fillId="0" borderId="5" xfId="0" applyNumberFormat="1" applyBorder="1"/>
    <xf numFmtId="165" fontId="0" fillId="0" borderId="6" xfId="0" applyNumberFormat="1" applyBorder="1"/>
    <xf numFmtId="0" fontId="0" fillId="2" borderId="0" xfId="0" applyFill="1"/>
    <xf numFmtId="0" fontId="0" fillId="3" borderId="0" xfId="0" applyFill="1"/>
    <xf numFmtId="0" fontId="0" fillId="4" borderId="0" xfId="0" applyFill="1"/>
    <xf numFmtId="0" fontId="0" fillId="5" borderId="0" xfId="0" applyFill="1"/>
    <xf numFmtId="10" fontId="0" fillId="0" borderId="6" xfId="0" applyNumberFormat="1" applyBorder="1"/>
    <xf numFmtId="167" fontId="0" fillId="0" borderId="6" xfId="0" applyNumberFormat="1" applyBorder="1"/>
    <xf numFmtId="167" fontId="0" fillId="0" borderId="7" xfId="0" applyNumberFormat="1" applyBorder="1"/>
    <xf numFmtId="1" fontId="0" fillId="0" borderId="3" xfId="0" applyNumberFormat="1" applyBorder="1" applyAlignment="1">
      <alignment vertical="center"/>
    </xf>
    <xf numFmtId="168" fontId="0" fillId="0" borderId="0" xfId="0" applyNumberFormat="1"/>
    <xf numFmtId="10" fontId="0" fillId="0" borderId="0" xfId="0" applyNumberFormat="1"/>
    <xf numFmtId="2" fontId="0" fillId="0" borderId="0" xfId="0" applyNumberFormat="1"/>
    <xf numFmtId="0" fontId="0" fillId="0" borderId="0" xfId="0" applyAlignment="1">
      <alignment wrapText="1"/>
    </xf>
    <xf numFmtId="0" fontId="0" fillId="0" borderId="0" xfId="0" applyAlignment="1">
      <alignment horizontal="center" vertical="center"/>
    </xf>
    <xf numFmtId="1" fontId="0" fillId="0" borderId="0" xfId="0" applyNumberFormat="1" applyAlignment="1">
      <alignment horizontal="center" vertical="center"/>
    </xf>
    <xf numFmtId="165" fontId="0" fillId="0" borderId="0" xfId="0" applyNumberFormat="1" applyAlignment="1">
      <alignment horizontal="center" vertical="center"/>
    </xf>
    <xf numFmtId="164" fontId="0" fillId="0" borderId="0" xfId="0" applyNumberFormat="1" applyAlignment="1">
      <alignment horizontal="center" vertical="center"/>
    </xf>
    <xf numFmtId="10" fontId="0" fillId="0" borderId="0" xfId="0" applyNumberFormat="1" applyAlignment="1">
      <alignment horizontal="center" vertical="center"/>
    </xf>
    <xf numFmtId="0" fontId="0" fillId="0" borderId="0" xfId="0" applyAlignment="1">
      <alignment horizontal="left" indent="1"/>
    </xf>
    <xf numFmtId="169" fontId="0" fillId="0" borderId="0" xfId="0" applyNumberFormat="1"/>
    <xf numFmtId="0" fontId="0" fillId="0" borderId="0" xfId="0" pivotButton="1" applyAlignment="1">
      <alignment horizontal="center" vertical="center"/>
    </xf>
    <xf numFmtId="0" fontId="0" fillId="0" borderId="0" xfId="0" applyAlignment="1">
      <alignment horizontal="right" vertical="center"/>
    </xf>
    <xf numFmtId="0" fontId="0" fillId="0" borderId="0" xfId="0" applyAlignment="1">
      <alignment horizontal="left" vertical="center"/>
    </xf>
    <xf numFmtId="10" fontId="0" fillId="0" borderId="0" xfId="1" applyNumberFormat="1" applyFont="1"/>
    <xf numFmtId="170" fontId="0" fillId="0" borderId="0" xfId="0" applyNumberFormat="1"/>
    <xf numFmtId="171" fontId="0" fillId="0" borderId="0" xfId="0" applyNumberFormat="1"/>
    <xf numFmtId="166" fontId="0" fillId="0" borderId="0" xfId="0" applyNumberFormat="1"/>
    <xf numFmtId="170" fontId="0" fillId="0" borderId="0" xfId="0" applyNumberFormat="1" applyAlignment="1">
      <alignment horizontal="center" vertical="center"/>
    </xf>
    <xf numFmtId="172" fontId="0" fillId="0" borderId="0" xfId="0" applyNumberFormat="1" applyAlignment="1">
      <alignment horizontal="center" vertical="center"/>
    </xf>
    <xf numFmtId="171" fontId="0" fillId="0" borderId="0" xfId="0" applyNumberFormat="1" applyAlignment="1">
      <alignment horizontal="center" vertical="center"/>
    </xf>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xf numFmtId="1" fontId="0" fillId="0" borderId="15" xfId="0" applyNumberFormat="1" applyBorder="1"/>
    <xf numFmtId="1" fontId="0" fillId="0" borderId="16" xfId="0" applyNumberFormat="1" applyBorder="1"/>
    <xf numFmtId="1" fontId="0" fillId="0" borderId="17" xfId="0" applyNumberFormat="1" applyBorder="1"/>
    <xf numFmtId="0" fontId="0" fillId="0" borderId="14" xfId="0" pivotButton="1" applyBorder="1"/>
    <xf numFmtId="0" fontId="0" fillId="0" borderId="15" xfId="0" applyBorder="1" applyAlignment="1">
      <alignment horizontal="left"/>
    </xf>
    <xf numFmtId="0" fontId="0" fillId="0" borderId="16" xfId="0" applyBorder="1" applyAlignment="1">
      <alignment horizontal="left"/>
    </xf>
    <xf numFmtId="0" fontId="0" fillId="0" borderId="17" xfId="0" applyBorder="1" applyAlignment="1">
      <alignment horizontal="left"/>
    </xf>
    <xf numFmtId="0" fontId="0" fillId="0" borderId="14" xfId="0" applyBorder="1"/>
    <xf numFmtId="10" fontId="0" fillId="0" borderId="6" xfId="1" applyNumberFormat="1" applyFont="1" applyBorder="1"/>
    <xf numFmtId="0" fontId="0" fillId="6" borderId="2" xfId="0" applyFill="1" applyBorder="1" applyAlignment="1">
      <alignment horizontal="center" vertical="center"/>
    </xf>
    <xf numFmtId="0" fontId="0" fillId="6" borderId="0" xfId="0" applyFill="1"/>
    <xf numFmtId="0" fontId="0" fillId="6" borderId="0" xfId="0" applyFill="1" applyAlignment="1">
      <alignment horizontal="center" vertical="center"/>
    </xf>
    <xf numFmtId="2" fontId="0" fillId="0" borderId="2" xfId="0" applyNumberFormat="1" applyBorder="1" applyAlignment="1">
      <alignment horizontal="center" vertical="center"/>
    </xf>
    <xf numFmtId="10" fontId="0" fillId="0" borderId="2" xfId="0" applyNumberFormat="1" applyBorder="1" applyAlignment="1">
      <alignment horizontal="center" vertical="center"/>
    </xf>
    <xf numFmtId="1" fontId="0" fillId="0" borderId="2" xfId="0" applyNumberFormat="1" applyBorder="1" applyAlignment="1">
      <alignment horizontal="center" vertical="center"/>
    </xf>
    <xf numFmtId="165" fontId="0" fillId="0" borderId="2" xfId="0" applyNumberFormat="1" applyBorder="1" applyAlignment="1">
      <alignment horizontal="center" vertical="center"/>
    </xf>
    <xf numFmtId="164" fontId="0" fillId="0" borderId="2" xfId="0" applyNumberFormat="1" applyBorder="1" applyAlignment="1">
      <alignment horizontal="center" vertical="center"/>
    </xf>
    <xf numFmtId="0" fontId="0" fillId="6" borderId="3" xfId="0" applyFill="1" applyBorder="1"/>
    <xf numFmtId="0" fontId="0" fillId="6" borderId="3" xfId="0" applyFill="1" applyBorder="1" applyAlignment="1">
      <alignment horizontal="center" vertical="center"/>
    </xf>
    <xf numFmtId="0" fontId="0" fillId="6" borderId="18" xfId="0" applyFill="1" applyBorder="1" applyAlignment="1">
      <alignment horizontal="center" vertical="center"/>
    </xf>
    <xf numFmtId="170" fontId="0" fillId="0" borderId="2" xfId="0" applyNumberFormat="1" applyBorder="1" applyAlignment="1">
      <alignment horizontal="center" vertical="center"/>
    </xf>
    <xf numFmtId="171" fontId="0" fillId="0" borderId="2" xfId="0" applyNumberFormat="1" applyBorder="1" applyAlignment="1">
      <alignment horizontal="center" vertical="center"/>
    </xf>
    <xf numFmtId="0" fontId="2" fillId="3" borderId="0" xfId="0" applyFont="1" applyFill="1"/>
    <xf numFmtId="0" fontId="0" fillId="6" borderId="1" xfId="0" applyFill="1" applyBorder="1" applyAlignment="1">
      <alignment horizontal="center" vertical="center"/>
    </xf>
    <xf numFmtId="0" fontId="0" fillId="6" borderId="2" xfId="0" applyFill="1" applyBorder="1" applyAlignment="1">
      <alignment horizontal="center" vertical="center"/>
    </xf>
    <xf numFmtId="0" fontId="0" fillId="6" borderId="4" xfId="0" applyFill="1" applyBorder="1" applyAlignment="1">
      <alignment horizontal="center" vertical="center"/>
    </xf>
    <xf numFmtId="0" fontId="0" fillId="7" borderId="0" xfId="0" applyFill="1" applyAlignment="1">
      <alignment horizontal="center"/>
    </xf>
    <xf numFmtId="0" fontId="0" fillId="0" borderId="0" xfId="0" applyAlignment="1">
      <alignment horizontal="center"/>
    </xf>
    <xf numFmtId="172" fontId="0" fillId="0" borderId="2" xfId="0" applyNumberFormat="1" applyBorder="1" applyAlignment="1">
      <alignment horizontal="center" vertical="center"/>
    </xf>
    <xf numFmtId="1" fontId="0" fillId="0" borderId="0" xfId="0" applyNumberFormat="1" applyBorder="1" applyAlignment="1">
      <alignment horizontal="center" vertical="center"/>
    </xf>
    <xf numFmtId="0" fontId="0" fillId="0" borderId="0" xfId="0" applyFill="1"/>
    <xf numFmtId="0" fontId="0" fillId="0" borderId="0" xfId="0" applyNumberFormat="1" applyAlignment="1">
      <alignment horizontal="center" vertical="center"/>
    </xf>
    <xf numFmtId="0" fontId="0" fillId="0" borderId="2" xfId="0" applyNumberFormat="1" applyBorder="1" applyAlignment="1">
      <alignment horizontal="center" vertical="center"/>
    </xf>
  </cellXfs>
  <cellStyles count="2">
    <cellStyle name="Normal" xfId="0" builtinId="0"/>
    <cellStyle name="Percent" xfId="1" builtinId="5"/>
  </cellStyles>
  <dxfs count="209">
    <dxf>
      <font>
        <b val="0"/>
        <i val="0"/>
        <strike val="0"/>
        <condense val="0"/>
        <extend val="0"/>
        <outline val="0"/>
        <shadow val="0"/>
        <u val="none"/>
        <vertAlign val="baseline"/>
        <sz val="11"/>
        <color theme="1"/>
        <name val="Calibri"/>
        <family val="2"/>
        <scheme val="minor"/>
      </font>
      <numFmt numFmtId="14" formatCode="0.00%"/>
    </dxf>
    <dxf>
      <numFmt numFmtId="170" formatCode="\$0.0,&quot;K&quot;"/>
    </dxf>
    <dxf>
      <font>
        <b val="0"/>
        <i val="0"/>
        <strike val="0"/>
        <condense val="0"/>
        <extend val="0"/>
        <outline val="0"/>
        <shadow val="0"/>
        <u val="none"/>
        <vertAlign val="baseline"/>
        <sz val="11"/>
        <color theme="1"/>
        <name val="Calibri"/>
        <family val="2"/>
        <scheme val="minor"/>
      </font>
      <numFmt numFmtId="14" formatCode="0.00%"/>
    </dxf>
    <dxf>
      <numFmt numFmtId="165" formatCode="\$0.0,,&quot;M&quot;"/>
    </dxf>
    <dxf>
      <numFmt numFmtId="169" formatCode=";;"/>
    </dxf>
    <dxf>
      <alignment horizontal="right"/>
    </dxf>
    <dxf>
      <alignment vertical="center"/>
    </dxf>
    <dxf>
      <alignment vertical="center"/>
    </dxf>
    <dxf>
      <alignment vertical="center"/>
    </dxf>
    <dxf>
      <alignment horizontal="center"/>
    </dxf>
    <dxf>
      <alignment horizontal="center"/>
    </dxf>
    <dxf>
      <numFmt numFmtId="169" formatCode=";;"/>
    </dxf>
    <dxf>
      <numFmt numFmtId="169" formatCode=";;"/>
    </dxf>
    <dxf>
      <numFmt numFmtId="165" formatCode="\$0.0,,&quot;M&quot;"/>
    </dxf>
    <dxf>
      <numFmt numFmtId="165" formatCode="\$0.0,,&quot;M&quot;"/>
    </dxf>
    <dxf>
      <numFmt numFmtId="14" formatCode="0.00%"/>
    </dxf>
    <dxf>
      <numFmt numFmtId="14" formatCode="0.00%"/>
    </dxf>
    <dxf>
      <numFmt numFmtId="1" formatCode="0"/>
    </dxf>
    <dxf>
      <numFmt numFmtId="1" formatCode="0"/>
    </dxf>
    <dxf>
      <numFmt numFmtId="165" formatCode="\$0.0,,&quot;M&quot;"/>
    </dxf>
    <dxf>
      <numFmt numFmtId="168" formatCode="\$0,,&quot;M&quot;"/>
    </dxf>
    <dxf>
      <numFmt numFmtId="168" formatCode="\$0,,&quot;M&quot;"/>
    </dxf>
    <dxf>
      <numFmt numFmtId="168" formatCode="\$0,,&quot;M&quot;"/>
    </dxf>
    <dxf>
      <numFmt numFmtId="168" formatCode="\$0,,&quot;M&quot;"/>
    </dxf>
    <dxf>
      <numFmt numFmtId="168" formatCode="\$0,,&quot;M&quot;"/>
    </dxf>
    <dxf>
      <numFmt numFmtId="165" formatCode="\$0.0,,&quot;M&quot;"/>
    </dxf>
    <dxf>
      <border>
        <right style="thin">
          <color indexed="64"/>
        </right>
      </border>
    </dxf>
    <dxf>
      <border>
        <left/>
        <right/>
      </border>
    </dxf>
    <dxf>
      <border>
        <right style="thin">
          <color indexed="64"/>
        </right>
      </border>
    </dxf>
    <dxf>
      <border>
        <right style="thin">
          <color indexed="64"/>
        </right>
      </border>
    </dxf>
    <dxf>
      <border>
        <right style="thin">
          <color indexed="64"/>
        </right>
      </border>
    </dxf>
    <dxf>
      <border>
        <right style="thin">
          <color indexed="64"/>
        </right>
      </border>
    </dxf>
    <dxf>
      <fill>
        <patternFill patternType="solid">
          <bgColor theme="7" tint="0.79998168889431442"/>
        </patternFill>
      </fill>
    </dxf>
    <dxf>
      <fill>
        <patternFill patternType="solid">
          <bgColor theme="7" tint="0.79998168889431442"/>
        </patternFill>
      </fill>
    </dxf>
    <dxf>
      <alignment vertical="center"/>
    </dxf>
    <dxf>
      <alignment horizontal="center"/>
    </dxf>
    <dxf>
      <alignment vertical="center"/>
    </dxf>
    <dxf>
      <alignment horizontal="center"/>
    </dxf>
    <dxf>
      <alignment vertical="center"/>
    </dxf>
    <dxf>
      <alignment vertical="center"/>
    </dxf>
    <dxf>
      <alignment horizontal="center"/>
    </dxf>
    <dxf>
      <alignment horizontal="center"/>
    </dxf>
    <dxf>
      <numFmt numFmtId="171" formatCode="0.0"/>
    </dxf>
    <dxf>
      <numFmt numFmtId="172" formatCode="0.0%"/>
    </dxf>
    <dxf>
      <numFmt numFmtId="170" formatCode="\$0.0,&quot;K&quot;"/>
    </dxf>
    <dxf>
      <numFmt numFmtId="170" formatCode="\$0.0,&quot;K&quot;"/>
    </dxf>
    <dxf>
      <numFmt numFmtId="1" formatCode="0"/>
    </dxf>
    <dxf>
      <numFmt numFmtId="165" formatCode="\$0.0,,&quot;M&quot;"/>
    </dxf>
    <dxf>
      <numFmt numFmtId="166" formatCode="0.0,&quot;K&quot;"/>
    </dxf>
    <dxf>
      <numFmt numFmtId="165" formatCode="\$0.0,,&quot;M&quot;"/>
    </dxf>
    <dxf>
      <numFmt numFmtId="165" formatCode="\$0.0,,&quot;M&quot;"/>
    </dxf>
    <dxf>
      <numFmt numFmtId="165" formatCode="\$0.0,,&quot;M&quot;"/>
    </dxf>
    <dxf>
      <numFmt numFmtId="165" formatCode="\$0.0,,&quot;M&quot;"/>
    </dxf>
    <dxf>
      <numFmt numFmtId="165" formatCode="\$0.0,,&quot;M&quot;"/>
    </dxf>
    <dxf>
      <border>
        <top style="thin">
          <color indexed="64"/>
        </top>
      </border>
    </dxf>
    <dxf>
      <border>
        <top style="thin">
          <color indexed="64"/>
        </top>
      </border>
    </dxf>
    <dxf>
      <border>
        <left/>
        <top/>
      </border>
    </dxf>
    <dxf>
      <border>
        <right/>
        <top/>
      </border>
    </dxf>
    <dxf>
      <border>
        <bottom style="thin">
          <color indexed="64"/>
        </bottom>
      </border>
    </dxf>
    <dxf>
      <border>
        <bottom style="thin">
          <color indexed="64"/>
        </bottom>
      </border>
    </dxf>
    <dxf>
      <border>
        <right/>
      </border>
    </dxf>
    <dxf>
      <border>
        <right style="thin">
          <color indexed="64"/>
        </right>
      </border>
    </dxf>
    <dxf>
      <border>
        <right style="thin">
          <color indexed="64"/>
        </right>
      </border>
    </dxf>
    <dxf>
      <border>
        <right style="thin">
          <color indexed="64"/>
        </right>
      </border>
    </dxf>
    <dxf>
      <alignment vertical="center"/>
    </dxf>
    <dxf>
      <alignment horizontal="center"/>
    </dxf>
    <dxf>
      <alignment horizontal="center"/>
    </dxf>
    <dxf>
      <alignment vertical="center"/>
    </dxf>
    <dxf>
      <alignment vertical="center"/>
    </dxf>
    <dxf>
      <alignment vertical="center"/>
    </dxf>
    <dxf>
      <alignment horizontal="center"/>
    </dxf>
    <dxf>
      <alignment horizontal="center"/>
    </dxf>
    <dxf>
      <alignment vertical="center"/>
    </dxf>
    <dxf>
      <alignment vertical="center"/>
    </dxf>
    <dxf>
      <alignment horizontal="center"/>
    </dxf>
    <dxf>
      <alignment horizontal="center"/>
    </dxf>
    <dxf>
      <alignment vertical="center"/>
    </dxf>
    <dxf>
      <alignment vertical="center"/>
    </dxf>
    <dxf>
      <alignment horizontal="center"/>
    </dxf>
    <dxf>
      <alignment horizontal="center"/>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numFmt numFmtId="165" formatCode="\$0.0,,&quot;M&quot;"/>
    </dxf>
    <dxf>
      <numFmt numFmtId="165" formatCode="\$0.0,,&quot;M&quot;"/>
    </dxf>
    <dxf>
      <numFmt numFmtId="14" formatCode="0.00%"/>
    </dxf>
    <dxf>
      <numFmt numFmtId="14" formatCode="0.00%"/>
    </dxf>
    <dxf>
      <numFmt numFmtId="165" formatCode="\$0.0,,&quot;M&quot;"/>
    </dxf>
    <dxf>
      <numFmt numFmtId="165" formatCode="\$0.0,,&quot;M&quot;"/>
    </dxf>
    <dxf>
      <numFmt numFmtId="14" formatCode="0.00%"/>
    </dxf>
    <dxf>
      <border>
        <right style="thin">
          <color indexed="64"/>
        </right>
        <top style="thin">
          <color indexed="64"/>
        </top>
        <bottom style="thin">
          <color indexed="64"/>
        </bottom>
      </border>
    </dxf>
    <dxf>
      <border>
        <right style="thin">
          <color indexed="64"/>
        </right>
        <top style="thin">
          <color indexed="64"/>
        </top>
        <bottom style="thin">
          <color indexed="64"/>
        </bottom>
      </border>
    </dxf>
    <dxf>
      <border>
        <right style="thin">
          <color indexed="64"/>
        </right>
        <top style="thin">
          <color indexed="64"/>
        </top>
        <bottom style="thin">
          <color indexed="64"/>
        </bottom>
      </border>
    </dxf>
    <dxf>
      <numFmt numFmtId="167" formatCode="0.00,&quot;K&quot;"/>
    </dxf>
    <dxf>
      <numFmt numFmtId="167" formatCode="0.00,&quot;K&quot;"/>
    </dxf>
    <dxf>
      <numFmt numFmtId="167" formatCode="0.00,&quot;K&quot;"/>
    </dxf>
    <dxf>
      <border>
        <right style="thin">
          <color indexed="64"/>
        </right>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border>
        <left style="thin">
          <color indexed="64"/>
        </left>
        <right style="thin">
          <color indexed="64"/>
        </right>
        <top style="thin">
          <color indexed="64"/>
        </top>
        <bottom style="thin">
          <color indexed="64"/>
        </bottom>
      </border>
    </dxf>
    <dxf>
      <numFmt numFmtId="14" formatCode="0.00%"/>
    </dxf>
    <dxf>
      <numFmt numFmtId="14" formatCode="0.00%"/>
    </dxf>
    <dxf>
      <numFmt numFmtId="14" formatCode="0.00%"/>
    </dxf>
    <dxf>
      <numFmt numFmtId="166" formatCode="0.0,&quot;K&quot;"/>
    </dxf>
    <dxf>
      <numFmt numFmtId="165" formatCode="\$0.0,,&quot;M&quot;"/>
    </dxf>
    <dxf>
      <numFmt numFmtId="14" formatCode="0.00%"/>
    </dxf>
    <dxf>
      <numFmt numFmtId="14" formatCode="0.00%"/>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numFmt numFmtId="171" formatCode="0.0"/>
    </dxf>
    <dxf>
      <numFmt numFmtId="172" formatCode="0.0%"/>
    </dxf>
    <dxf>
      <numFmt numFmtId="170" formatCode="\$0.0,&quot;K&quot;"/>
    </dxf>
    <dxf>
      <numFmt numFmtId="170" formatCode="\$0.0,&quot;K&quot;"/>
    </dxf>
    <dxf>
      <numFmt numFmtId="1" formatCode="0"/>
    </dxf>
    <dxf>
      <numFmt numFmtId="165" formatCode="\$0.0,,&quot;M&quot;"/>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numFmt numFmtId="165" formatCode="\$0.0,,&quot;M&quot;"/>
    </dxf>
    <dxf>
      <numFmt numFmtId="14" formatCode="0.00%"/>
    </dxf>
    <dxf>
      <numFmt numFmtId="170" formatCode="\$0.0,&quot;K&quot;"/>
    </dxf>
    <dxf>
      <numFmt numFmtId="14" formatCode="0.00%"/>
    </dxf>
    <dxf>
      <numFmt numFmtId="14" formatCode="0.00%"/>
    </dxf>
    <dxf>
      <numFmt numFmtId="165" formatCode="\$0.0,,&quot;M&quot;"/>
    </dxf>
    <dxf>
      <fill>
        <patternFill patternType="solid">
          <bgColor theme="7" tint="0.79998168889431442"/>
        </patternFill>
      </fill>
    </dxf>
    <dxf>
      <fill>
        <patternFill patternType="solid">
          <bgColor theme="7" tint="0.79998168889431442"/>
        </patternFill>
      </fill>
    </dxf>
    <dxf>
      <fill>
        <patternFill>
          <bgColor auto="1"/>
        </patternFill>
      </fill>
    </dxf>
    <dxf>
      <fill>
        <patternFill>
          <bgColor auto="1"/>
        </patternFill>
      </fill>
    </dxf>
    <dxf>
      <fill>
        <patternFill>
          <bgColor auto="1"/>
        </patternFill>
      </fill>
    </dxf>
    <dxf>
      <numFmt numFmtId="165" formatCode="\$0.0,,&quot;M&quot;"/>
    </dxf>
    <dxf>
      <alignment vertical="center"/>
    </dxf>
    <dxf>
      <alignment horizontal="center"/>
    </dxf>
    <dxf>
      <alignment vertical="center"/>
    </dxf>
    <dxf>
      <alignment horizontal="center"/>
    </dxf>
    <dxf>
      <alignment vertical="center"/>
    </dxf>
    <dxf>
      <alignment horizontal="center"/>
    </dxf>
    <dxf>
      <numFmt numFmtId="165" formatCode="\$0.0,,&quot;M&quot;"/>
    </dxf>
    <dxf>
      <numFmt numFmtId="165" formatCode="\$0.0,,&quot;M&quot;"/>
    </dxf>
    <dxf>
      <alignment wrapText="1"/>
    </dxf>
    <dxf>
      <numFmt numFmtId="165" formatCode="\$0.0,,&quot;M&quot;"/>
    </dxf>
    <dxf>
      <numFmt numFmtId="165" formatCode="\$0.0,,&quot;M&quot;"/>
    </dxf>
    <dxf>
      <numFmt numFmtId="165" formatCode="\$0.0,,&quot;M&quot;"/>
    </dxf>
    <dxf>
      <numFmt numFmtId="165" formatCode="\$0.0,,&quot;M&quot;"/>
    </dxf>
    <dxf>
      <numFmt numFmtId="165" formatCode="\$0.0,,&quot;M&quot;"/>
    </dxf>
    <dxf>
      <numFmt numFmtId="165" formatCode="\$0.0,,&quot;M&quot;"/>
    </dxf>
    <dxf>
      <border>
        <right style="thin">
          <color indexed="64"/>
        </right>
      </border>
    </dxf>
    <dxf>
      <border>
        <right style="thin">
          <color indexed="64"/>
        </right>
      </border>
    </dxf>
    <dxf>
      <border>
        <right style="thin">
          <color indexed="64"/>
        </right>
      </border>
    </dxf>
    <dxf>
      <border>
        <bottom style="thin">
          <color indexed="64"/>
        </bottom>
      </border>
    </dxf>
    <dxf>
      <border>
        <bottom style="thin">
          <color indexed="64"/>
        </bottom>
      </border>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fill>
        <patternFill patternType="solid">
          <bgColor theme="7" tint="0.79998168889431442"/>
        </patternFill>
      </fill>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numFmt numFmtId="170" formatCode="\$0.0,&quot;K&quot;"/>
    </dxf>
    <dxf>
      <numFmt numFmtId="14" formatCode="0.00%"/>
    </dxf>
    <dxf>
      <numFmt numFmtId="165" formatCode="\$0.0,,&quot;M&quot;"/>
    </dxf>
    <dxf>
      <fill>
        <patternFill patternType="solid">
          <bgColor theme="7" tint="0.79998168889431442"/>
        </patternFill>
      </fill>
    </dxf>
    <dxf>
      <fill>
        <patternFill patternType="solid">
          <bgColor theme="7" tint="0.79998168889431442"/>
        </patternFill>
      </fill>
    </dxf>
    <dxf>
      <border>
        <right style="thin">
          <color indexed="64"/>
        </right>
      </border>
    </dxf>
    <dxf>
      <border>
        <right style="thin">
          <color indexed="64"/>
        </right>
      </border>
    </dxf>
    <dxf>
      <border>
        <right style="thin">
          <color indexed="64"/>
        </right>
      </border>
    </dxf>
    <dxf>
      <border>
        <right style="thin">
          <color indexed="64"/>
        </right>
      </border>
    </dxf>
    <dxf>
      <border>
        <right style="thin">
          <color indexed="64"/>
        </right>
      </bord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numFmt numFmtId="171" formatCode="0.0"/>
    </dxf>
    <dxf>
      <numFmt numFmtId="172" formatCode="0.0%"/>
    </dxf>
    <dxf>
      <numFmt numFmtId="170" formatCode="\$0.0,&quot;K&quot;"/>
    </dxf>
    <dxf>
      <numFmt numFmtId="170" formatCode="\$0.0,&quot;K&quot;"/>
    </dxf>
    <dxf>
      <numFmt numFmtId="1" formatCode="0"/>
    </dxf>
    <dxf>
      <numFmt numFmtId="165" formatCode="\$0.0,,&quot;M&quot;"/>
    </dxf>
    <dxf>
      <font>
        <b/>
        <sz val="11"/>
        <color theme="1"/>
      </font>
      <border>
        <vertical/>
        <horizontal/>
      </border>
    </dxf>
    <dxf>
      <font>
        <color theme="1"/>
      </font>
      <fill>
        <patternFill>
          <bgColor theme="0" tint="-4.9989318521683403E-2"/>
        </patternFill>
      </fill>
      <border diagonalUp="0" diagonalDown="0">
        <left/>
        <right/>
        <top/>
        <bottom/>
        <vertical/>
        <horizontal/>
      </border>
    </dxf>
    <dxf>
      <font>
        <strike val="0"/>
        <sz val="8"/>
      </font>
      <fill>
        <patternFill patternType="none">
          <bgColor auto="1"/>
        </patternFill>
      </fill>
    </dxf>
    <dxf>
      <font>
        <sz val="8"/>
      </font>
      <fill>
        <patternFill patternType="solid">
          <bgColor rgb="FFF4F4F4"/>
        </patternFill>
      </fill>
      <border diagonalUp="0" diagonalDown="0">
        <left/>
        <right/>
        <top/>
        <bottom/>
        <vertical/>
        <horizontal/>
      </border>
    </dxf>
    <dxf>
      <fill>
        <patternFill patternType="solid">
          <bgColor rgb="FFF4F4F4"/>
        </patternFill>
      </fill>
      <border diagonalUp="0" diagonalDown="0">
        <left/>
        <right/>
        <top/>
        <bottom/>
        <vertical/>
        <horizontal/>
      </border>
    </dxf>
  </dxfs>
  <tableStyles count="3" defaultTableStyle="TableStyleMedium2" defaultPivotStyle="PivotStyleLight16">
    <tableStyle name="Ex Sum View" pivot="0" table="0" count="2" xr9:uid="{8ED3AA51-82DC-481C-A5CC-B97800D506EA}">
      <tableStyleElement type="wholeTable" dxfId="208"/>
    </tableStyle>
    <tableStyle name="Ex Sum View 2" pivot="0" table="0" count="4" xr9:uid="{B88DCAB5-FD8D-4AA7-8594-50B5F019AB16}">
      <tableStyleElement type="wholeTable" dxfId="207"/>
      <tableStyleElement type="headerRow" dxfId="206"/>
    </tableStyle>
    <tableStyle name="TimeSlicer My edited verison" pivot="0" table="0" count="9" xr9:uid="{C67C33DA-AEAC-4456-9719-0CBF5A9CF9AA}">
      <tableStyleElement type="wholeTable" dxfId="205"/>
      <tableStyleElement type="headerRow" dxfId="204"/>
    </tableStyle>
  </tableStyles>
  <colors>
    <mruColors>
      <color rgb="FF843C0C"/>
      <color rgb="FF63BE7B"/>
      <color rgb="FFF8696B"/>
      <color rgb="FFF4F4F4"/>
      <color rgb="FFF1F9F3"/>
      <color rgb="FFEAF6FB"/>
      <color rgb="FFFFF2F2"/>
    </mruColors>
  </colors>
  <extLst>
    <ext xmlns:x14="http://schemas.microsoft.com/office/spreadsheetml/2009/9/main" uri="{46F421CA-312F-682f-3DD2-61675219B42D}">
      <x14:dxfs count="3">
        <dxf>
          <font>
            <sz val="8"/>
          </font>
          <fill>
            <patternFill>
              <bgColor theme="6" tint="0.79998168889431442"/>
            </patternFill>
          </fill>
        </dxf>
        <dxf>
          <fill>
            <patternFill>
              <bgColor theme="7" tint="0.59996337778862885"/>
            </patternFill>
          </fill>
        </dxf>
        <dxf>
          <fill>
            <patternFill>
              <bgColor theme="0"/>
            </patternFill>
          </fill>
        </dxf>
      </x14:dxfs>
    </ext>
    <ext xmlns:x14="http://schemas.microsoft.com/office/spreadsheetml/2009/9/main" uri="{EB79DEF2-80B8-43e5-95BD-54CBDDF9020C}">
      <x14:slicerStyles defaultSlicerStyle="SlicerStyleLight1">
        <x14:slicerStyle name="Ex Sum View">
          <x14:slicerStyleElements>
            <x14:slicerStyleElement type="selectedItemWithData" dxfId="2"/>
          </x14:slicerStyleElements>
        </x14:slicerStyle>
        <x14:slicerStyle name="Ex Sum View 2">
          <x14:slicerStyleElements>
            <x14:slicerStyleElement type="selectedItemWithData" dxfId="1"/>
            <x14:slicerStyleElement type="selectedItemWithNoData" dxfId="0"/>
          </x14:slicerStyleElements>
        </x14:slicerStyle>
      </x14:slicerStyles>
    </ext>
    <ext xmlns:x15="http://schemas.microsoft.com/office/spreadsheetml/2010/11/main" uri="{A0A4C193-F2C1-4fcb-8827-314CF55A85BB}">
      <x15:dxfs count="7">
        <dxf>
          <fill>
            <patternFill patternType="solid">
              <fgColor theme="6" tint="0.39997558519241921"/>
              <bgColor theme="6" tint="0.39997558519241921"/>
            </patternFill>
          </fill>
          <border>
            <vertical/>
            <horizontal/>
          </border>
        </dxf>
        <dxf>
          <fill>
            <gradientFill degree="90">
              <stop position="0">
                <color theme="0" tint="-0.249977111117893"/>
              </stop>
              <stop position="1">
                <color theme="0" tint="-0.249977111117893"/>
              </stop>
            </gradientFill>
          </fill>
          <border>
            <vertical/>
            <horizontal/>
          </border>
        </dxf>
        <dxf>
          <fill>
            <gradientFill degree="90">
              <stop position="0">
                <color theme="6"/>
              </stop>
              <stop position="1">
                <color theme="6" tint="-0.499984740745262"/>
              </stop>
            </gradientFill>
          </fill>
          <border>
            <vertical/>
            <horizontal/>
          </border>
        </dxf>
        <dxf>
          <font>
            <sz val="9"/>
            <color theme="1" tint="0.499984740745262"/>
          </font>
          <border>
            <left/>
            <right/>
            <top/>
            <bottom/>
            <vertical/>
            <horizontal/>
          </border>
        </dxf>
        <dxf>
          <font>
            <sz val="9"/>
            <color theme="1" tint="0.499984740745262"/>
          </font>
          <border>
            <left/>
            <right/>
            <top/>
            <bottom/>
            <vertical/>
            <horizontal/>
          </border>
        </dxf>
        <dxf>
          <font>
            <sz val="9"/>
            <color theme="1" tint="0.499984740745262"/>
          </font>
          <border>
            <left/>
            <right/>
            <top/>
            <bottom/>
            <vertical/>
            <horizontal/>
          </border>
        </dxf>
        <dxf>
          <font>
            <sz val="10"/>
            <color theme="6" tint="-0.249977111117893"/>
          </font>
          <border>
            <left/>
            <right/>
            <top/>
            <bottom/>
            <vertical/>
            <horizontal/>
          </border>
        </dxf>
      </x15:dxfs>
    </ext>
    <ext xmlns:x15="http://schemas.microsoft.com/office/spreadsheetml/2010/11/main" uri="{9260A510-F301-46a8-8635-F512D64BE5F5}">
      <x15:timelineStyles defaultTimelineStyle="TimeSlicerStyleLight1">
        <x15:timelineStyle name="TimeSlicer My edited verison">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1.xml"/><Relationship Id="rId21" Type="http://schemas.openxmlformats.org/officeDocument/2006/relationships/pivotCacheDefinition" Target="pivotCache/pivotCacheDefinition16.xml"/><Relationship Id="rId42" Type="http://schemas.microsoft.com/office/2007/relationships/slicerCache" Target="slicerCaches/slicerCache9.xml"/><Relationship Id="rId47" Type="http://schemas.openxmlformats.org/officeDocument/2006/relationships/connections" Target="connections.xml"/><Relationship Id="rId63" Type="http://schemas.openxmlformats.org/officeDocument/2006/relationships/customXml" Target="../customXml/item11.xml"/><Relationship Id="rId68" Type="http://schemas.openxmlformats.org/officeDocument/2006/relationships/customXml" Target="../customXml/item16.xml"/><Relationship Id="rId84" Type="http://schemas.openxmlformats.org/officeDocument/2006/relationships/customXml" Target="../customXml/item32.xml"/><Relationship Id="rId89" Type="http://schemas.openxmlformats.org/officeDocument/2006/relationships/customXml" Target="../customXml/item37.xml"/><Relationship Id="rId16" Type="http://schemas.openxmlformats.org/officeDocument/2006/relationships/pivotCacheDefinition" Target="pivotCache/pivotCacheDefinition11.xml"/><Relationship Id="rId11" Type="http://schemas.openxmlformats.org/officeDocument/2006/relationships/pivotCacheDefinition" Target="pivotCache/pivotCacheDefinition6.xml"/><Relationship Id="rId32" Type="http://schemas.openxmlformats.org/officeDocument/2006/relationships/pivotCacheDefinition" Target="pivotCache/pivotCacheDefinition27.xml"/><Relationship Id="rId37" Type="http://schemas.microsoft.com/office/2007/relationships/slicerCache" Target="slicerCaches/slicerCache4.xml"/><Relationship Id="rId53" Type="http://schemas.openxmlformats.org/officeDocument/2006/relationships/customXml" Target="../customXml/item1.xml"/><Relationship Id="rId58" Type="http://schemas.openxmlformats.org/officeDocument/2006/relationships/customXml" Target="../customXml/item6.xml"/><Relationship Id="rId74" Type="http://schemas.openxmlformats.org/officeDocument/2006/relationships/customXml" Target="../customXml/item22.xml"/><Relationship Id="rId79" Type="http://schemas.openxmlformats.org/officeDocument/2006/relationships/customXml" Target="../customXml/item27.xml"/><Relationship Id="rId102" Type="http://schemas.openxmlformats.org/officeDocument/2006/relationships/customXml" Target="../customXml/item50.xml"/><Relationship Id="rId5" Type="http://schemas.openxmlformats.org/officeDocument/2006/relationships/worksheet" Target="worksheets/sheet5.xml"/><Relationship Id="rId90" Type="http://schemas.openxmlformats.org/officeDocument/2006/relationships/customXml" Target="../customXml/item38.xml"/><Relationship Id="rId95" Type="http://schemas.openxmlformats.org/officeDocument/2006/relationships/customXml" Target="../customXml/item43.xml"/><Relationship Id="rId22" Type="http://schemas.openxmlformats.org/officeDocument/2006/relationships/pivotCacheDefinition" Target="pivotCache/pivotCacheDefinition17.xml"/><Relationship Id="rId27" Type="http://schemas.openxmlformats.org/officeDocument/2006/relationships/pivotCacheDefinition" Target="pivotCache/pivotCacheDefinition22.xml"/><Relationship Id="rId43" Type="http://schemas.microsoft.com/office/2007/relationships/slicerCache" Target="slicerCaches/slicerCache10.xml"/><Relationship Id="rId48" Type="http://schemas.openxmlformats.org/officeDocument/2006/relationships/styles" Target="styles.xml"/><Relationship Id="rId64" Type="http://schemas.openxmlformats.org/officeDocument/2006/relationships/customXml" Target="../customXml/item12.xml"/><Relationship Id="rId69" Type="http://schemas.openxmlformats.org/officeDocument/2006/relationships/customXml" Target="../customXml/item17.xml"/><Relationship Id="rId80" Type="http://schemas.openxmlformats.org/officeDocument/2006/relationships/customXml" Target="../customXml/item28.xml"/><Relationship Id="rId85" Type="http://schemas.openxmlformats.org/officeDocument/2006/relationships/customXml" Target="../customXml/item3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pivotCacheDefinition" Target="pivotCache/pivotCacheDefinition20.xml"/><Relationship Id="rId33" Type="http://schemas.openxmlformats.org/officeDocument/2006/relationships/pivotCacheDefinition" Target="pivotCache/pivotCacheDefinition28.xml"/><Relationship Id="rId38" Type="http://schemas.microsoft.com/office/2007/relationships/slicerCache" Target="slicerCaches/slicerCache5.xml"/><Relationship Id="rId46" Type="http://schemas.openxmlformats.org/officeDocument/2006/relationships/theme" Target="theme/theme1.xml"/><Relationship Id="rId59" Type="http://schemas.openxmlformats.org/officeDocument/2006/relationships/customXml" Target="../customXml/item7.xml"/><Relationship Id="rId67" Type="http://schemas.openxmlformats.org/officeDocument/2006/relationships/customXml" Target="../customXml/item15.xml"/><Relationship Id="rId20" Type="http://schemas.openxmlformats.org/officeDocument/2006/relationships/pivotCacheDefinition" Target="pivotCache/pivotCacheDefinition15.xml"/><Relationship Id="rId41" Type="http://schemas.microsoft.com/office/2007/relationships/slicerCache" Target="slicerCaches/slicerCache8.xml"/><Relationship Id="rId54" Type="http://schemas.openxmlformats.org/officeDocument/2006/relationships/customXml" Target="../customXml/item2.xml"/><Relationship Id="rId62" Type="http://schemas.openxmlformats.org/officeDocument/2006/relationships/customXml" Target="../customXml/item10.xml"/><Relationship Id="rId70" Type="http://schemas.openxmlformats.org/officeDocument/2006/relationships/customXml" Target="../customXml/item18.xml"/><Relationship Id="rId75" Type="http://schemas.openxmlformats.org/officeDocument/2006/relationships/customXml" Target="../customXml/item23.xml"/><Relationship Id="rId83" Type="http://schemas.openxmlformats.org/officeDocument/2006/relationships/customXml" Target="../customXml/item31.xml"/><Relationship Id="rId88" Type="http://schemas.openxmlformats.org/officeDocument/2006/relationships/customXml" Target="../customXml/item36.xml"/><Relationship Id="rId91" Type="http://schemas.openxmlformats.org/officeDocument/2006/relationships/customXml" Target="../customXml/item39.xml"/><Relationship Id="rId96"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openxmlformats.org/officeDocument/2006/relationships/pivotCacheDefinition" Target="pivotCache/pivotCacheDefinition18.xml"/><Relationship Id="rId28" Type="http://schemas.openxmlformats.org/officeDocument/2006/relationships/pivotCacheDefinition" Target="pivotCache/pivotCacheDefinition23.xml"/><Relationship Id="rId36" Type="http://schemas.microsoft.com/office/2007/relationships/slicerCache" Target="slicerCaches/slicerCache3.xml"/><Relationship Id="rId49" Type="http://schemas.openxmlformats.org/officeDocument/2006/relationships/sharedStrings" Target="sharedStrings.xml"/><Relationship Id="rId57" Type="http://schemas.openxmlformats.org/officeDocument/2006/relationships/customXml" Target="../customXml/item5.xml"/><Relationship Id="rId10" Type="http://schemas.openxmlformats.org/officeDocument/2006/relationships/pivotCacheDefinition" Target="pivotCache/pivotCacheDefinition5.xml"/><Relationship Id="rId31" Type="http://schemas.openxmlformats.org/officeDocument/2006/relationships/pivotCacheDefinition" Target="pivotCache/pivotCacheDefinition26.xml"/><Relationship Id="rId44" Type="http://schemas.openxmlformats.org/officeDocument/2006/relationships/pivotCacheDefinition" Target="pivotCache/pivotCacheDefinition29.xml"/><Relationship Id="rId52" Type="http://schemas.openxmlformats.org/officeDocument/2006/relationships/calcChain" Target="calcChain.xml"/><Relationship Id="rId60" Type="http://schemas.openxmlformats.org/officeDocument/2006/relationships/customXml" Target="../customXml/item8.xml"/><Relationship Id="rId65" Type="http://schemas.openxmlformats.org/officeDocument/2006/relationships/customXml" Target="../customXml/item13.xml"/><Relationship Id="rId73" Type="http://schemas.openxmlformats.org/officeDocument/2006/relationships/customXml" Target="../customXml/item21.xml"/><Relationship Id="rId78" Type="http://schemas.openxmlformats.org/officeDocument/2006/relationships/customXml" Target="../customXml/item26.xml"/><Relationship Id="rId81" Type="http://schemas.openxmlformats.org/officeDocument/2006/relationships/customXml" Target="../customXml/item29.xml"/><Relationship Id="rId86" Type="http://schemas.openxmlformats.org/officeDocument/2006/relationships/customXml" Target="../customXml/item34.xml"/><Relationship Id="rId94" Type="http://schemas.openxmlformats.org/officeDocument/2006/relationships/customXml" Target="../customXml/item42.xml"/><Relationship Id="rId99" Type="http://schemas.openxmlformats.org/officeDocument/2006/relationships/customXml" Target="../customXml/item47.xml"/><Relationship Id="rId101" Type="http://schemas.openxmlformats.org/officeDocument/2006/relationships/customXml" Target="../customXml/item49.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39" Type="http://schemas.microsoft.com/office/2007/relationships/slicerCache" Target="slicerCaches/slicerCache6.xml"/><Relationship Id="rId34" Type="http://schemas.microsoft.com/office/2007/relationships/slicerCache" Target="slicerCaches/slicerCache1.xml"/><Relationship Id="rId50" Type="http://schemas.openxmlformats.org/officeDocument/2006/relationships/sheetMetadata" Target="metadata.xml"/><Relationship Id="rId55" Type="http://schemas.openxmlformats.org/officeDocument/2006/relationships/customXml" Target="../customXml/item3.xml"/><Relationship Id="rId76" Type="http://schemas.openxmlformats.org/officeDocument/2006/relationships/customXml" Target="../customXml/item24.xml"/><Relationship Id="rId97" Type="http://schemas.openxmlformats.org/officeDocument/2006/relationships/customXml" Target="../customXml/item45.xml"/><Relationship Id="rId7" Type="http://schemas.openxmlformats.org/officeDocument/2006/relationships/pivotCacheDefinition" Target="pivotCache/pivotCacheDefinition2.xml"/><Relationship Id="rId71" Type="http://schemas.openxmlformats.org/officeDocument/2006/relationships/customXml" Target="../customXml/item19.xml"/><Relationship Id="rId92" Type="http://schemas.openxmlformats.org/officeDocument/2006/relationships/customXml" Target="../customXml/item40.xml"/><Relationship Id="rId2" Type="http://schemas.openxmlformats.org/officeDocument/2006/relationships/worksheet" Target="worksheets/sheet2.xml"/><Relationship Id="rId29" Type="http://schemas.openxmlformats.org/officeDocument/2006/relationships/pivotCacheDefinition" Target="pivotCache/pivotCacheDefinition24.xml"/><Relationship Id="rId24" Type="http://schemas.openxmlformats.org/officeDocument/2006/relationships/pivotCacheDefinition" Target="pivotCache/pivotCacheDefinition19.xml"/><Relationship Id="rId40" Type="http://schemas.microsoft.com/office/2007/relationships/slicerCache" Target="slicerCaches/slicerCache7.xml"/><Relationship Id="rId45" Type="http://schemas.microsoft.com/office/2011/relationships/timelineCache" Target="timelineCaches/timelineCache1.xml"/><Relationship Id="rId66" Type="http://schemas.openxmlformats.org/officeDocument/2006/relationships/customXml" Target="../customXml/item14.xml"/><Relationship Id="rId87" Type="http://schemas.openxmlformats.org/officeDocument/2006/relationships/customXml" Target="../customXml/item35.xml"/><Relationship Id="rId61" Type="http://schemas.openxmlformats.org/officeDocument/2006/relationships/customXml" Target="../customXml/item9.xml"/><Relationship Id="rId82" Type="http://schemas.openxmlformats.org/officeDocument/2006/relationships/customXml" Target="../customXml/item30.xml"/><Relationship Id="rId19" Type="http://schemas.openxmlformats.org/officeDocument/2006/relationships/pivotCacheDefinition" Target="pivotCache/pivotCacheDefinition14.xml"/><Relationship Id="rId14" Type="http://schemas.openxmlformats.org/officeDocument/2006/relationships/pivotCacheDefinition" Target="pivotCache/pivotCacheDefinition9.xml"/><Relationship Id="rId30" Type="http://schemas.openxmlformats.org/officeDocument/2006/relationships/pivotCacheDefinition" Target="pivotCache/pivotCacheDefinition25.xml"/><Relationship Id="rId35" Type="http://schemas.microsoft.com/office/2007/relationships/slicerCache" Target="slicerCaches/slicerCache2.xml"/><Relationship Id="rId56" Type="http://schemas.openxmlformats.org/officeDocument/2006/relationships/customXml" Target="../customXml/item4.xml"/><Relationship Id="rId77" Type="http://schemas.openxmlformats.org/officeDocument/2006/relationships/customXml" Target="../customXml/item25.xml"/><Relationship Id="rId100" Type="http://schemas.openxmlformats.org/officeDocument/2006/relationships/customXml" Target="../customXml/item48.xml"/><Relationship Id="rId8" Type="http://schemas.openxmlformats.org/officeDocument/2006/relationships/pivotCacheDefinition" Target="pivotCache/pivotCacheDefinition3.xml"/><Relationship Id="rId51" Type="http://schemas.openxmlformats.org/officeDocument/2006/relationships/powerPivotData" Target="model/item.data"/><Relationship Id="rId72" Type="http://schemas.openxmlformats.org/officeDocument/2006/relationships/customXml" Target="../customXml/item20.xml"/><Relationship Id="rId93" Type="http://schemas.openxmlformats.org/officeDocument/2006/relationships/customXml" Target="../customXml/item41.xml"/><Relationship Id="rId98" Type="http://schemas.openxmlformats.org/officeDocument/2006/relationships/customXml" Target="../customXml/item46.xml"/><Relationship Id="rId3" Type="http://schemas.openxmlformats.org/officeDocument/2006/relationships/worksheet" Target="worksheets/sheet3.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1.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2.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3.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4.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5.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6.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7.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9.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Ex3.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Ex4.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Design!PivotTable4</c:name>
    <c:fmtId val="8"/>
  </c:pivotSource>
  <c:chart>
    <c:autoTitleDeleted val="1"/>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cap="rnd">
            <a:solidFill>
              <a:schemeClr val="accent1"/>
            </a:solidFill>
            <a:round/>
          </a:ln>
          <a:effectLst/>
        </c:spPr>
        <c:marker>
          <c:symbol val="circle"/>
          <c:size val="5"/>
          <c:spPr>
            <a:solidFill>
              <a:schemeClr val="accent2"/>
            </a:solidFill>
            <a:ln w="317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bg2">
                <a:lumMod val="50000"/>
              </a:schemeClr>
            </a:solidFill>
            <a:round/>
          </a:ln>
          <a:effectLst/>
        </c:spPr>
        <c:marker>
          <c:symbol val="square"/>
          <c:size val="4"/>
          <c:spPr>
            <a:solidFill>
              <a:schemeClr val="tx1">
                <a:lumMod val="65000"/>
                <a:lumOff val="35000"/>
              </a:schemeClr>
            </a:solidFill>
            <a:ln w="952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cap="rnd">
            <a:solidFill>
              <a:schemeClr val="accent1"/>
            </a:solidFill>
            <a:round/>
          </a:ln>
          <a:effectLst/>
        </c:spPr>
        <c:marker>
          <c:symbol val="circle"/>
          <c:size val="5"/>
          <c:spPr>
            <a:solidFill>
              <a:schemeClr val="accent2"/>
            </a:solidFill>
            <a:ln w="317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bg2">
                <a:lumMod val="50000"/>
              </a:schemeClr>
            </a:solidFill>
            <a:round/>
          </a:ln>
          <a:effectLst/>
        </c:spPr>
        <c:marker>
          <c:symbol val="square"/>
          <c:size val="4"/>
          <c:spPr>
            <a:solidFill>
              <a:schemeClr val="tx1">
                <a:lumMod val="65000"/>
                <a:lumOff val="35000"/>
              </a:schemeClr>
            </a:solidFill>
            <a:ln w="952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0"/>
        <c:spPr>
          <a:ln w="19050" cap="rnd">
            <a:solidFill>
              <a:schemeClr val="accent2"/>
            </a:solidFill>
            <a:round/>
          </a:ln>
          <a:effectLst/>
        </c:spPr>
        <c:marker>
          <c:symbol val="square"/>
          <c:size val="3"/>
          <c:spPr>
            <a:solidFill>
              <a:schemeClr val="accent2">
                <a:lumMod val="60000"/>
                <a:lumOff val="40000"/>
              </a:schemeClr>
            </a:solidFill>
            <a:ln w="317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20000"/>
                      <a:lumOff val="80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11"/>
        <c:spPr>
          <a:ln w="19050" cap="rnd">
            <a:solidFill>
              <a:schemeClr val="bg1"/>
            </a:solidFill>
            <a:round/>
          </a:ln>
          <a:effectLst/>
        </c:spPr>
        <c:marker>
          <c:symbol val="square"/>
          <c:size val="3"/>
          <c:spPr>
            <a:solidFill>
              <a:schemeClr val="tx1">
                <a:lumMod val="65000"/>
                <a:lumOff val="35000"/>
              </a:schemeClr>
            </a:solidFill>
            <a:ln w="952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2.404679665986657E-2"/>
              <c:y val="-3.8245359684916741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3"/>
      </c:pivotFmt>
      <c:pivotFmt>
        <c:idx val="14"/>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2.6653673789826155E-2"/>
              <c:y val="-4.3474167957484343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5"/>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3.1374526427853475E-2"/>
              <c:y val="-4.3474167957484315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6"/>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1.4851542194757846E-2"/>
              <c:y val="-3.2605625968113242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7"/>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1.2491115875744271E-2"/>
              <c:y val="-2.717135497342775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8"/>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1.9572394832785171E-2"/>
              <c:y val="-2.173708397874221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19"/>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5.4098369187032007E-3"/>
              <c:y val="-2.717135497342775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0"/>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1.9572394832785125E-2"/>
              <c:y val="-2.173708397874221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1"/>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1.4851542194757846E-2"/>
              <c:y val="-2.7171354973427698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2"/>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1.0130689556730566E-2"/>
              <c:y val="-1.6302812984056621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3"/>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7.7702632377168622E-3"/>
              <c:y val="-2.1737083978742258E-2"/>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24"/>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Lbl>
          <c:idx val="0"/>
          <c:layout>
            <c:manualLayout>
              <c:x val="3.7340619307830655E-4"/>
              <c:y val="1.3280670744248259E-3"/>
            </c:manualLayout>
          </c:layout>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manualLayout>
          <c:layoutTarget val="inner"/>
          <c:xMode val="edge"/>
          <c:yMode val="edge"/>
          <c:x val="2.5964694334957194E-2"/>
          <c:y val="6.6773135642790013E-2"/>
          <c:w val="0.94807061133008563"/>
          <c:h val="0.68241925554964056"/>
        </c:manualLayout>
      </c:layout>
      <c:lineChart>
        <c:grouping val="standard"/>
        <c:varyColors val="0"/>
        <c:ser>
          <c:idx val="0"/>
          <c:order val="0"/>
          <c:tx>
            <c:strRef>
              <c:f>'Sheet Design'!$D$22</c:f>
              <c:strCache>
                <c:ptCount val="1"/>
                <c:pt idx="0">
                  <c:v>Total Received Amount</c:v>
                </c:pt>
              </c:strCache>
            </c:strRef>
          </c:tx>
          <c:spPr>
            <a:ln w="19050" cap="rnd">
              <a:solidFill>
                <a:schemeClr val="accent1">
                  <a:lumMod val="75000"/>
                  <a:alpha val="97000"/>
                </a:schemeClr>
              </a:solidFill>
              <a:round/>
            </a:ln>
            <a:effectLst/>
          </c:spPr>
          <c:marker>
            <c:symbol val="square"/>
            <c:size val="3"/>
            <c:spPr>
              <a:solidFill>
                <a:schemeClr val="accent1"/>
              </a:solidFill>
              <a:ln w="9525">
                <a:solidFill>
                  <a:schemeClr val="bg1"/>
                </a:solidFill>
              </a:ln>
              <a:effectLst/>
            </c:spPr>
          </c:marker>
          <c:dPt>
            <c:idx val="0"/>
            <c:bubble3D val="0"/>
            <c:extLst>
              <c:ext xmlns:c16="http://schemas.microsoft.com/office/drawing/2014/chart" uri="{C3380CC4-5D6E-409C-BE32-E72D297353CC}">
                <c16:uniqueId val="{0000000F-7D01-406C-8B95-315C71E385CA}"/>
              </c:ext>
            </c:extLst>
          </c:dPt>
          <c:dPt>
            <c:idx val="1"/>
            <c:bubble3D val="0"/>
            <c:extLst>
              <c:ext xmlns:c16="http://schemas.microsoft.com/office/drawing/2014/chart" uri="{C3380CC4-5D6E-409C-BE32-E72D297353CC}">
                <c16:uniqueId val="{0000000E-7D01-406C-8B95-315C71E385CA}"/>
              </c:ext>
            </c:extLst>
          </c:dPt>
          <c:dPt>
            <c:idx val="2"/>
            <c:bubble3D val="0"/>
            <c:extLst>
              <c:ext xmlns:c16="http://schemas.microsoft.com/office/drawing/2014/chart" uri="{C3380CC4-5D6E-409C-BE32-E72D297353CC}">
                <c16:uniqueId val="{0000000D-7D01-406C-8B95-315C71E385CA}"/>
              </c:ext>
            </c:extLst>
          </c:dPt>
          <c:dPt>
            <c:idx val="3"/>
            <c:bubble3D val="0"/>
            <c:extLst>
              <c:ext xmlns:c16="http://schemas.microsoft.com/office/drawing/2014/chart" uri="{C3380CC4-5D6E-409C-BE32-E72D297353CC}">
                <c16:uniqueId val="{0000000C-7D01-406C-8B95-315C71E385CA}"/>
              </c:ext>
            </c:extLst>
          </c:dPt>
          <c:dPt>
            <c:idx val="4"/>
            <c:bubble3D val="0"/>
            <c:extLst>
              <c:ext xmlns:c16="http://schemas.microsoft.com/office/drawing/2014/chart" uri="{C3380CC4-5D6E-409C-BE32-E72D297353CC}">
                <c16:uniqueId val="{0000000B-7D01-406C-8B95-315C71E385CA}"/>
              </c:ext>
            </c:extLst>
          </c:dPt>
          <c:dPt>
            <c:idx val="5"/>
            <c:bubble3D val="0"/>
            <c:extLst>
              <c:ext xmlns:c16="http://schemas.microsoft.com/office/drawing/2014/chart" uri="{C3380CC4-5D6E-409C-BE32-E72D297353CC}">
                <c16:uniqueId val="{0000000A-7D01-406C-8B95-315C71E385CA}"/>
              </c:ext>
            </c:extLst>
          </c:dPt>
          <c:dPt>
            <c:idx val="6"/>
            <c:bubble3D val="0"/>
            <c:extLst>
              <c:ext xmlns:c16="http://schemas.microsoft.com/office/drawing/2014/chart" uri="{C3380CC4-5D6E-409C-BE32-E72D297353CC}">
                <c16:uniqueId val="{00000009-7D01-406C-8B95-315C71E385CA}"/>
              </c:ext>
            </c:extLst>
          </c:dPt>
          <c:dPt>
            <c:idx val="7"/>
            <c:bubble3D val="0"/>
            <c:extLst>
              <c:ext xmlns:c16="http://schemas.microsoft.com/office/drawing/2014/chart" uri="{C3380CC4-5D6E-409C-BE32-E72D297353CC}">
                <c16:uniqueId val="{00000008-7D01-406C-8B95-315C71E385CA}"/>
              </c:ext>
            </c:extLst>
          </c:dPt>
          <c:dPt>
            <c:idx val="8"/>
            <c:bubble3D val="0"/>
            <c:extLst>
              <c:ext xmlns:c16="http://schemas.microsoft.com/office/drawing/2014/chart" uri="{C3380CC4-5D6E-409C-BE32-E72D297353CC}">
                <c16:uniqueId val="{00000007-7D01-406C-8B95-315C71E385CA}"/>
              </c:ext>
            </c:extLst>
          </c:dPt>
          <c:dPt>
            <c:idx val="9"/>
            <c:bubble3D val="0"/>
            <c:extLst>
              <c:ext xmlns:c16="http://schemas.microsoft.com/office/drawing/2014/chart" uri="{C3380CC4-5D6E-409C-BE32-E72D297353CC}">
                <c16:uniqueId val="{00000003-7D01-406C-8B95-315C71E385CA}"/>
              </c:ext>
            </c:extLst>
          </c:dPt>
          <c:dPt>
            <c:idx val="10"/>
            <c:bubble3D val="0"/>
            <c:extLst>
              <c:ext xmlns:c16="http://schemas.microsoft.com/office/drawing/2014/chart" uri="{C3380CC4-5D6E-409C-BE32-E72D297353CC}">
                <c16:uniqueId val="{00000006-7D01-406C-8B95-315C71E385CA}"/>
              </c:ext>
            </c:extLst>
          </c:dPt>
          <c:dPt>
            <c:idx val="11"/>
            <c:bubble3D val="0"/>
            <c:extLst>
              <c:ext xmlns:c16="http://schemas.microsoft.com/office/drawing/2014/chart" uri="{C3380CC4-5D6E-409C-BE32-E72D297353CC}">
                <c16:uniqueId val="{00000005-7D01-406C-8B95-315C71E385CA}"/>
              </c:ext>
            </c:extLst>
          </c:dPt>
          <c:dLbls>
            <c:dLbl>
              <c:idx val="0"/>
              <c:layout>
                <c:manualLayout>
                  <c:x val="3.7340619307830655E-4"/>
                  <c:y val="1.3280670744248259E-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F-7D01-406C-8B95-315C71E385CA}"/>
                </c:ext>
              </c:extLst>
            </c:dLbl>
            <c:dLbl>
              <c:idx val="1"/>
              <c:layout>
                <c:manualLayout>
                  <c:x val="-7.7702632377168622E-3"/>
                  <c:y val="-2.173708397874225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7D01-406C-8B95-315C71E385CA}"/>
                </c:ext>
              </c:extLst>
            </c:dLbl>
            <c:dLbl>
              <c:idx val="2"/>
              <c:layout>
                <c:manualLayout>
                  <c:x val="-1.0130689556730566E-2"/>
                  <c:y val="-1.630281298405662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7D01-406C-8B95-315C71E385CA}"/>
                </c:ext>
              </c:extLst>
            </c:dLbl>
            <c:dLbl>
              <c:idx val="3"/>
              <c:layout>
                <c:manualLayout>
                  <c:x val="-1.4851542194757846E-2"/>
                  <c:y val="-2.717135497342769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7D01-406C-8B95-315C71E385CA}"/>
                </c:ext>
              </c:extLst>
            </c:dLbl>
            <c:dLbl>
              <c:idx val="4"/>
              <c:layout>
                <c:manualLayout>
                  <c:x val="-1.9572394832785125E-2"/>
                  <c:y val="-2.17370839787422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7D01-406C-8B95-315C71E385CA}"/>
                </c:ext>
              </c:extLst>
            </c:dLbl>
            <c:dLbl>
              <c:idx val="5"/>
              <c:layout>
                <c:manualLayout>
                  <c:x val="-5.4098369187032007E-3"/>
                  <c:y val="-2.71713549734277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7D01-406C-8B95-315C71E385CA}"/>
                </c:ext>
              </c:extLst>
            </c:dLbl>
            <c:dLbl>
              <c:idx val="6"/>
              <c:layout>
                <c:manualLayout>
                  <c:x val="-1.9572394832785171E-2"/>
                  <c:y val="-2.17370839787422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7D01-406C-8B95-315C71E385CA}"/>
                </c:ext>
              </c:extLst>
            </c:dLbl>
            <c:dLbl>
              <c:idx val="7"/>
              <c:layout>
                <c:manualLayout>
                  <c:x val="-1.2491115875744271E-2"/>
                  <c:y val="-2.71713549734277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7D01-406C-8B95-315C71E385CA}"/>
                </c:ext>
              </c:extLst>
            </c:dLbl>
            <c:dLbl>
              <c:idx val="8"/>
              <c:layout>
                <c:manualLayout>
                  <c:x val="-1.4851542194757846E-2"/>
                  <c:y val="-3.2605625968113242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7D01-406C-8B95-315C71E385CA}"/>
                </c:ext>
              </c:extLst>
            </c:dLbl>
            <c:dLbl>
              <c:idx val="9"/>
              <c:layout>
                <c:manualLayout>
                  <c:x val="-2.404679665986657E-2"/>
                  <c:y val="-3.8245359684916741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D01-406C-8B95-315C71E385CA}"/>
                </c:ext>
              </c:extLst>
            </c:dLbl>
            <c:dLbl>
              <c:idx val="10"/>
              <c:layout>
                <c:manualLayout>
                  <c:x val="-3.1374526427853475E-2"/>
                  <c:y val="-4.347416795748431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7D01-406C-8B95-315C71E385CA}"/>
                </c:ext>
              </c:extLst>
            </c:dLbl>
            <c:dLbl>
              <c:idx val="11"/>
              <c:layout>
                <c:manualLayout>
                  <c:x val="-2.6653673789826155E-2"/>
                  <c:y val="-4.347416795748434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D01-406C-8B95-315C71E385CA}"/>
                </c:ext>
              </c:extLst>
            </c:dLbl>
            <c:spPr>
              <a:noFill/>
              <a:ln>
                <a:noFill/>
              </a:ln>
              <a:effectLst/>
            </c:spPr>
            <c:txPr>
              <a:bodyPr rot="0" spcFirstLastPara="1" vertOverflow="ellipsis" vert="horz" wrap="square" lIns="0" tIns="19050" rIns="0" bIns="19050" anchor="b" anchorCtr="1">
                <a:spAutoFit/>
              </a:bodyPr>
              <a:lstStyle/>
              <a:p>
                <a:pPr>
                  <a:defRPr sz="900" b="0" i="0" u="none" strike="noStrike" kern="1200" baseline="0">
                    <a:ln>
                      <a:noFill/>
                    </a:ln>
                    <a:solidFill>
                      <a:schemeClr val="tx2">
                        <a:lumMod val="60000"/>
                        <a:lumOff val="40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solidFill>
                        <a:schemeClr val="tx1">
                          <a:lumMod val="35000"/>
                          <a:lumOff val="65000"/>
                        </a:schemeClr>
                      </a:solidFill>
                      <a:round/>
                    </a:ln>
                    <a:effectLst/>
                  </c:spPr>
                </c15:leaderLines>
              </c:ext>
            </c:extLst>
          </c:dLbls>
          <c:cat>
            <c:strRef>
              <c:f>'Sheet Design'!$C$23:$C$35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Design'!$D$23:$D$35</c:f>
              <c:numCache>
                <c:formatCode>\$0,,"M"</c:formatCode>
                <c:ptCount val="12"/>
                <c:pt idx="0">
                  <c:v>27578836</c:v>
                </c:pt>
                <c:pt idx="1">
                  <c:v>27717745</c:v>
                </c:pt>
                <c:pt idx="2">
                  <c:v>32264400</c:v>
                </c:pt>
                <c:pt idx="3">
                  <c:v>32495533</c:v>
                </c:pt>
                <c:pt idx="4">
                  <c:v>33750523</c:v>
                </c:pt>
                <c:pt idx="5">
                  <c:v>36164533</c:v>
                </c:pt>
                <c:pt idx="6">
                  <c:v>38827220</c:v>
                </c:pt>
                <c:pt idx="7">
                  <c:v>42682218</c:v>
                </c:pt>
                <c:pt idx="8">
                  <c:v>43983948</c:v>
                </c:pt>
                <c:pt idx="9">
                  <c:v>49399567</c:v>
                </c:pt>
                <c:pt idx="10">
                  <c:v>50132030</c:v>
                </c:pt>
                <c:pt idx="11">
                  <c:v>58074380</c:v>
                </c:pt>
              </c:numCache>
            </c:numRef>
          </c:val>
          <c:smooth val="0"/>
          <c:extLst>
            <c:ext xmlns:c16="http://schemas.microsoft.com/office/drawing/2014/chart" uri="{C3380CC4-5D6E-409C-BE32-E72D297353CC}">
              <c16:uniqueId val="{00000000-7D01-406C-8B95-315C71E385CA}"/>
            </c:ext>
          </c:extLst>
        </c:ser>
        <c:ser>
          <c:idx val="1"/>
          <c:order val="1"/>
          <c:tx>
            <c:strRef>
              <c:f>'Sheet Design'!$E$22</c:f>
              <c:strCache>
                <c:ptCount val="1"/>
                <c:pt idx="0">
                  <c:v>Total Funded Amount</c:v>
                </c:pt>
              </c:strCache>
            </c:strRef>
          </c:tx>
          <c:spPr>
            <a:ln w="19050" cap="rnd">
              <a:solidFill>
                <a:schemeClr val="accent2"/>
              </a:solidFill>
              <a:round/>
            </a:ln>
            <a:effectLst/>
          </c:spPr>
          <c:marker>
            <c:symbol val="square"/>
            <c:size val="3"/>
            <c:spPr>
              <a:solidFill>
                <a:schemeClr val="accent2">
                  <a:lumMod val="60000"/>
                  <a:lumOff val="40000"/>
                </a:schemeClr>
              </a:solidFill>
              <a:ln w="3175">
                <a:solidFill>
                  <a:schemeClr val="bg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20000"/>
                        <a:lumOff val="80000"/>
                      </a:schemeClr>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Design'!$C$23:$C$35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Design'!$E$23:$E$35</c:f>
              <c:numCache>
                <c:formatCode>\$0,,"M"</c:formatCode>
                <c:ptCount val="12"/>
                <c:pt idx="0">
                  <c:v>25031650</c:v>
                </c:pt>
                <c:pt idx="1">
                  <c:v>24647825</c:v>
                </c:pt>
                <c:pt idx="2">
                  <c:v>28875700</c:v>
                </c:pt>
                <c:pt idx="3">
                  <c:v>29800800</c:v>
                </c:pt>
                <c:pt idx="4">
                  <c:v>31738350</c:v>
                </c:pt>
                <c:pt idx="5">
                  <c:v>34161475</c:v>
                </c:pt>
                <c:pt idx="6">
                  <c:v>35813900</c:v>
                </c:pt>
                <c:pt idx="7">
                  <c:v>38149600</c:v>
                </c:pt>
                <c:pt idx="8">
                  <c:v>40907725</c:v>
                </c:pt>
                <c:pt idx="9">
                  <c:v>44893800</c:v>
                </c:pt>
                <c:pt idx="10">
                  <c:v>47754825</c:v>
                </c:pt>
                <c:pt idx="11">
                  <c:v>53981425</c:v>
                </c:pt>
              </c:numCache>
            </c:numRef>
          </c:val>
          <c:smooth val="0"/>
          <c:extLst>
            <c:ext xmlns:c16="http://schemas.microsoft.com/office/drawing/2014/chart" uri="{C3380CC4-5D6E-409C-BE32-E72D297353CC}">
              <c16:uniqueId val="{00000001-7D01-406C-8B95-315C71E385CA}"/>
            </c:ext>
          </c:extLst>
        </c:ser>
        <c:ser>
          <c:idx val="2"/>
          <c:order val="2"/>
          <c:tx>
            <c:strRef>
              <c:f>'Sheet Design'!$F$22</c:f>
              <c:strCache>
                <c:ptCount val="1"/>
                <c:pt idx="0">
                  <c:v>expected total payment</c:v>
                </c:pt>
              </c:strCache>
            </c:strRef>
          </c:tx>
          <c:spPr>
            <a:ln w="19050" cap="rnd">
              <a:solidFill>
                <a:schemeClr val="bg1"/>
              </a:solidFill>
              <a:round/>
            </a:ln>
            <a:effectLst/>
          </c:spPr>
          <c:marker>
            <c:symbol val="square"/>
            <c:size val="3"/>
            <c:spPr>
              <a:solidFill>
                <a:schemeClr val="tx1">
                  <a:lumMod val="65000"/>
                  <a:lumOff val="35000"/>
                </a:schemeClr>
              </a:solidFill>
              <a:ln w="9525">
                <a:solidFill>
                  <a:schemeClr val="bg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Design'!$C$23:$C$35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Design'!$F$23:$F$35</c:f>
              <c:numCache>
                <c:formatCode>\$0,,"M"</c:formatCode>
                <c:ptCount val="12"/>
                <c:pt idx="0">
                  <c:v>30856727.280000001</c:v>
                </c:pt>
                <c:pt idx="1">
                  <c:v>30910687.800000001</c:v>
                </c:pt>
                <c:pt idx="2">
                  <c:v>36496550.399999999</c:v>
                </c:pt>
                <c:pt idx="3">
                  <c:v>36837482.399999999</c:v>
                </c:pt>
                <c:pt idx="4">
                  <c:v>38905189.079999998</c:v>
                </c:pt>
                <c:pt idx="5">
                  <c:v>41688072.479999997</c:v>
                </c:pt>
                <c:pt idx="6">
                  <c:v>44527424.520000003</c:v>
                </c:pt>
                <c:pt idx="7">
                  <c:v>48805190.759999998</c:v>
                </c:pt>
                <c:pt idx="8">
                  <c:v>51033969.719999999</c:v>
                </c:pt>
                <c:pt idx="9">
                  <c:v>57069318.719999999</c:v>
                </c:pt>
                <c:pt idx="10">
                  <c:v>58772541.960000001</c:v>
                </c:pt>
                <c:pt idx="11">
                  <c:v>67675656</c:v>
                </c:pt>
              </c:numCache>
            </c:numRef>
          </c:val>
          <c:smooth val="0"/>
          <c:extLst>
            <c:ext xmlns:c16="http://schemas.microsoft.com/office/drawing/2014/chart" uri="{C3380CC4-5D6E-409C-BE32-E72D297353CC}">
              <c16:uniqueId val="{00000002-7D01-406C-8B95-315C71E385CA}"/>
            </c:ext>
          </c:extLst>
        </c:ser>
        <c:dLbls>
          <c:showLegendKey val="0"/>
          <c:showVal val="0"/>
          <c:showCatName val="0"/>
          <c:showSerName val="0"/>
          <c:showPercent val="0"/>
          <c:showBubbleSize val="0"/>
        </c:dLbls>
        <c:marker val="1"/>
        <c:smooth val="0"/>
        <c:axId val="1934958975"/>
        <c:axId val="1934954175"/>
      </c:lineChart>
      <c:catAx>
        <c:axId val="19349589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4954175"/>
        <c:crosses val="autoZero"/>
        <c:auto val="1"/>
        <c:lblAlgn val="ctr"/>
        <c:lblOffset val="100"/>
        <c:noMultiLvlLbl val="0"/>
      </c:catAx>
      <c:valAx>
        <c:axId val="1934954175"/>
        <c:scaling>
          <c:orientation val="minMax"/>
        </c:scaling>
        <c:delete val="1"/>
        <c:axPos val="l"/>
        <c:numFmt formatCode="\$0,,&quot;M&quot;" sourceLinked="1"/>
        <c:majorTickMark val="none"/>
        <c:minorTickMark val="none"/>
        <c:tickLblPos val="nextTo"/>
        <c:crossAx val="1934958975"/>
        <c:crosses val="autoZero"/>
        <c:crossBetween val="between"/>
      </c:valAx>
      <c:spPr>
        <a:solidFill>
          <a:schemeClr val="tx2">
            <a:lumMod val="60000"/>
            <a:lumOff val="40000"/>
          </a:schemeClr>
        </a:solidFill>
        <a:ln>
          <a:solidFill>
            <a:srgbClr val="F4F4F4"/>
          </a:solid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Design!PivotTable12</c:name>
    <c:fmtId val="24"/>
  </c:pivotSource>
  <c:chart>
    <c:title>
      <c:tx>
        <c:rich>
          <a:bodyPr rot="0" spcFirstLastPara="1" vertOverflow="ellipsis" vert="horz" wrap="square" anchor="ctr" anchorCtr="1"/>
          <a:lstStyle/>
          <a:p>
            <a:pPr>
              <a:defRPr sz="1400" b="0" i="0" u="none" strike="noStrike" kern="1200" cap="none" spc="20" baseline="0">
                <a:solidFill>
                  <a:srgbClr val="843C0C"/>
                </a:solidFill>
                <a:latin typeface="+mn-lt"/>
                <a:ea typeface="+mn-ea"/>
                <a:cs typeface="+mn-cs"/>
              </a:defRPr>
            </a:pPr>
            <a:r>
              <a:rPr lang="en-IN" sz="1200">
                <a:solidFill>
                  <a:srgbClr val="843C0C"/>
                </a:solidFill>
              </a:rPr>
              <a:t>FRAUD DETECTION</a:t>
            </a:r>
            <a:r>
              <a:rPr lang="en-IN" sz="1200" baseline="0">
                <a:solidFill>
                  <a:srgbClr val="843C0C"/>
                </a:solidFill>
              </a:rPr>
              <a:t> OF </a:t>
            </a:r>
            <a:r>
              <a:rPr lang="en-IN" sz="1200">
                <a:solidFill>
                  <a:srgbClr val="843C0C"/>
                </a:solidFill>
              </a:rPr>
              <a:t>FUNDED</a:t>
            </a:r>
            <a:r>
              <a:rPr lang="en-IN" sz="1200" baseline="0">
                <a:solidFill>
                  <a:srgbClr val="843C0C"/>
                </a:solidFill>
              </a:rPr>
              <a:t> LOANS BASED ON THEIR STATUS</a:t>
            </a:r>
            <a:endParaRPr lang="en-IN" sz="1200">
              <a:solidFill>
                <a:srgbClr val="843C0C"/>
              </a:solidFill>
            </a:endParaRP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rgbClr val="843C0C"/>
              </a:solidFill>
              <a:latin typeface="+mn-lt"/>
              <a:ea typeface="+mn-ea"/>
              <a:cs typeface="+mn-cs"/>
            </a:defRPr>
          </a:pPr>
          <a:endParaRPr lang="en-IN"/>
        </a:p>
      </c:txPr>
    </c:title>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Lbl>
          <c:idx val="0"/>
          <c:layout>
            <c:manualLayout>
              <c:x val="3.888888888888889E-2"/>
              <c:y val="-9.25925925925942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dLbl>
          <c:idx val="0"/>
          <c:layout>
            <c:manualLayout>
              <c:x val="-2.7777777777777779E-3"/>
              <c:y val="-6.018518518518518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Lbl>
          <c:idx val="0"/>
          <c:layout>
            <c:manualLayout>
              <c:x val="3.888888888888889E-2"/>
              <c:y val="-9.25925925925942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dLbl>
          <c:idx val="0"/>
          <c:layout>
            <c:manualLayout>
              <c:x val="-2.7777777777777779E-3"/>
              <c:y val="-6.018518518518518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Lbl>
          <c:idx val="0"/>
          <c:layout>
            <c:manualLayout>
              <c:x val="9.2097127130943382E-2"/>
              <c:y val="-2.7607695827012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Lbl>
          <c:idx val="0"/>
          <c:layout>
            <c:manualLayout>
              <c:x val="-1.529727421111377E-2"/>
              <c:y val="-4.1836788750030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Lbl>
          <c:idx val="0"/>
          <c:layout>
            <c:manualLayout>
              <c:x val="-3.1298896824788528E-3"/>
              <c:y val="-5.504587155963303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 Design'!$C$99:$C$100</c:f>
              <c:strCache>
                <c:ptCount val="1"/>
                <c:pt idx="0">
                  <c:v>Clean</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Pt>
            <c:idx val="1"/>
            <c:invertIfNegative val="0"/>
            <c:bubble3D val="0"/>
            <c:extLst>
              <c:ext xmlns:c16="http://schemas.microsoft.com/office/drawing/2014/chart" uri="{C3380CC4-5D6E-409C-BE32-E72D297353CC}">
                <c16:uniqueId val="{00000000-1368-4240-893B-28513D39BD68}"/>
              </c:ext>
            </c:extLst>
          </c:dPt>
          <c:dLbls>
            <c:dLbl>
              <c:idx val="1"/>
              <c:layout>
                <c:manualLayout>
                  <c:x val="9.2097127130943382E-2"/>
                  <c:y val="-2.760769582701245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1368-4240-893B-28513D39BD6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 Design'!$B$101:$B$103</c:f>
              <c:strCache>
                <c:ptCount val="3"/>
                <c:pt idx="0">
                  <c:v>Charged Off</c:v>
                </c:pt>
                <c:pt idx="1">
                  <c:v>Current</c:v>
                </c:pt>
                <c:pt idx="2">
                  <c:v>Fully Paid</c:v>
                </c:pt>
              </c:strCache>
            </c:strRef>
          </c:cat>
          <c:val>
            <c:numRef>
              <c:f>'Sheet Design'!$C$101:$C$103</c:f>
              <c:numCache>
                <c:formatCode>0</c:formatCode>
                <c:ptCount val="3"/>
                <c:pt idx="0">
                  <c:v>4853</c:v>
                </c:pt>
                <c:pt idx="1">
                  <c:v>1044</c:v>
                </c:pt>
                <c:pt idx="2">
                  <c:v>29681</c:v>
                </c:pt>
              </c:numCache>
            </c:numRef>
          </c:val>
          <c:extLst>
            <c:ext xmlns:c16="http://schemas.microsoft.com/office/drawing/2014/chart" uri="{C3380CC4-5D6E-409C-BE32-E72D297353CC}">
              <c16:uniqueId val="{00000001-1368-4240-893B-28513D39BD68}"/>
            </c:ext>
          </c:extLst>
        </c:ser>
        <c:ser>
          <c:idx val="1"/>
          <c:order val="1"/>
          <c:tx>
            <c:strRef>
              <c:f>'Sheet Design'!$D$99:$D$100</c:f>
              <c:strCache>
                <c:ptCount val="1"/>
                <c:pt idx="0">
                  <c:v>Potential Fraud</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dPt>
            <c:idx val="0"/>
            <c:invertIfNegative val="0"/>
            <c:bubble3D val="0"/>
            <c:extLst>
              <c:ext xmlns:c16="http://schemas.microsoft.com/office/drawing/2014/chart" uri="{C3380CC4-5D6E-409C-BE32-E72D297353CC}">
                <c16:uniqueId val="{00000001-B5E5-4507-A982-EB0D2080B1D1}"/>
              </c:ext>
            </c:extLst>
          </c:dPt>
          <c:dPt>
            <c:idx val="1"/>
            <c:invertIfNegative val="0"/>
            <c:bubble3D val="0"/>
            <c:extLst>
              <c:ext xmlns:c16="http://schemas.microsoft.com/office/drawing/2014/chart" uri="{C3380CC4-5D6E-409C-BE32-E72D297353CC}">
                <c16:uniqueId val="{00000002-B5E5-4507-A982-EB0D2080B1D1}"/>
              </c:ext>
            </c:extLst>
          </c:dPt>
          <c:dLbls>
            <c:dLbl>
              <c:idx val="0"/>
              <c:layout>
                <c:manualLayout>
                  <c:x val="-3.1298896824788528E-3"/>
                  <c:y val="-5.504587155963303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5E5-4507-A982-EB0D2080B1D1}"/>
                </c:ext>
              </c:extLst>
            </c:dLbl>
            <c:dLbl>
              <c:idx val="1"/>
              <c:layout>
                <c:manualLayout>
                  <c:x val="-1.529727421111377E-2"/>
                  <c:y val="-4.1836788750030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B5E5-4507-A982-EB0D2080B1D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 Design'!$B$101:$B$103</c:f>
              <c:strCache>
                <c:ptCount val="3"/>
                <c:pt idx="0">
                  <c:v>Charged Off</c:v>
                </c:pt>
                <c:pt idx="1">
                  <c:v>Current</c:v>
                </c:pt>
                <c:pt idx="2">
                  <c:v>Fully Paid</c:v>
                </c:pt>
              </c:strCache>
            </c:strRef>
          </c:cat>
          <c:val>
            <c:numRef>
              <c:f>'Sheet Design'!$D$101:$D$103</c:f>
              <c:numCache>
                <c:formatCode>0</c:formatCode>
                <c:ptCount val="3"/>
                <c:pt idx="0">
                  <c:v>480</c:v>
                </c:pt>
                <c:pt idx="1">
                  <c:v>54</c:v>
                </c:pt>
                <c:pt idx="2">
                  <c:v>2464</c:v>
                </c:pt>
              </c:numCache>
            </c:numRef>
          </c:val>
          <c:extLst>
            <c:ext xmlns:c16="http://schemas.microsoft.com/office/drawing/2014/chart" uri="{C3380CC4-5D6E-409C-BE32-E72D297353CC}">
              <c16:uniqueId val="{00000004-0BBA-4C2A-B11D-3D47B6D2F34E}"/>
            </c:ext>
          </c:extLst>
        </c:ser>
        <c:dLbls>
          <c:showLegendKey val="0"/>
          <c:showVal val="1"/>
          <c:showCatName val="0"/>
          <c:showSerName val="0"/>
          <c:showPercent val="0"/>
          <c:showBubbleSize val="0"/>
        </c:dLbls>
        <c:gapWidth val="150"/>
        <c:overlap val="100"/>
        <c:axId val="73491952"/>
        <c:axId val="73504912"/>
      </c:barChart>
      <c:catAx>
        <c:axId val="73491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73504912"/>
        <c:crosses val="autoZero"/>
        <c:auto val="1"/>
        <c:lblAlgn val="ctr"/>
        <c:lblOffset val="100"/>
        <c:noMultiLvlLbl val="0"/>
      </c:catAx>
      <c:valAx>
        <c:axId val="73504912"/>
        <c:scaling>
          <c:orientation val="minMax"/>
        </c:scaling>
        <c:delete val="1"/>
        <c:axPos val="l"/>
        <c:numFmt formatCode="0" sourceLinked="1"/>
        <c:majorTickMark val="none"/>
        <c:minorTickMark val="none"/>
        <c:tickLblPos val="nextTo"/>
        <c:crossAx val="734919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Design!PivotTable13</c:name>
    <c:fmtId val="28"/>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 Design'!$J$97:$J$98</c:f>
              <c:strCache>
                <c:ptCount val="1"/>
                <c:pt idx="0">
                  <c:v>Potential Fraud</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Design'!$I$99:$I$103</c:f>
              <c:strCache>
                <c:ptCount val="5"/>
                <c:pt idx="0">
                  <c:v>MORTGAGE</c:v>
                </c:pt>
                <c:pt idx="1">
                  <c:v>NONE</c:v>
                </c:pt>
                <c:pt idx="2">
                  <c:v>OTHER</c:v>
                </c:pt>
                <c:pt idx="3">
                  <c:v>OWN</c:v>
                </c:pt>
                <c:pt idx="4">
                  <c:v>RENT</c:v>
                </c:pt>
              </c:strCache>
            </c:strRef>
          </c:cat>
          <c:val>
            <c:numRef>
              <c:f>'Sheet Design'!$J$99:$J$103</c:f>
              <c:numCache>
                <c:formatCode>0</c:formatCode>
                <c:ptCount val="5"/>
                <c:pt idx="0">
                  <c:v>680</c:v>
                </c:pt>
                <c:pt idx="1">
                  <c:v>2</c:v>
                </c:pt>
                <c:pt idx="2">
                  <c:v>6</c:v>
                </c:pt>
                <c:pt idx="3">
                  <c:v>206</c:v>
                </c:pt>
                <c:pt idx="4">
                  <c:v>2104</c:v>
                </c:pt>
              </c:numCache>
            </c:numRef>
          </c:val>
          <c:extLst>
            <c:ext xmlns:c16="http://schemas.microsoft.com/office/drawing/2014/chart" uri="{C3380CC4-5D6E-409C-BE32-E72D297353CC}">
              <c16:uniqueId val="{00000000-BBB1-4C15-ADE4-1DE7E57863C5}"/>
            </c:ext>
          </c:extLst>
        </c:ser>
        <c:dLbls>
          <c:dLblPos val="ctr"/>
          <c:showLegendKey val="0"/>
          <c:showVal val="1"/>
          <c:showCatName val="0"/>
          <c:showSerName val="0"/>
          <c:showPercent val="0"/>
          <c:showBubbleSize val="0"/>
        </c:dLbls>
        <c:gapWidth val="150"/>
        <c:overlap val="100"/>
        <c:axId val="1048930304"/>
        <c:axId val="1048929344"/>
      </c:barChart>
      <c:catAx>
        <c:axId val="104893030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8929344"/>
        <c:crosses val="autoZero"/>
        <c:auto val="1"/>
        <c:lblAlgn val="ctr"/>
        <c:lblOffset val="100"/>
        <c:noMultiLvlLbl val="0"/>
      </c:catAx>
      <c:valAx>
        <c:axId val="1048929344"/>
        <c:scaling>
          <c:orientation val="minMax"/>
        </c:scaling>
        <c:delete val="1"/>
        <c:axPos val="b"/>
        <c:numFmt formatCode="0" sourceLinked="1"/>
        <c:majorTickMark val="none"/>
        <c:minorTickMark val="none"/>
        <c:tickLblPos val="nextTo"/>
        <c:crossAx val="1048930304"/>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Design!PivotTable14</c:name>
    <c:fmtId val="34"/>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 Design'!$N$97:$N$98</c:f>
              <c:strCache>
                <c:ptCount val="1"/>
                <c:pt idx="0">
                  <c:v>Clean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 Design'!$M$99:$M$103</c:f>
              <c:strCache>
                <c:ptCount val="5"/>
                <c:pt idx="0">
                  <c:v>MORTGAGE</c:v>
                </c:pt>
                <c:pt idx="1">
                  <c:v>NONE</c:v>
                </c:pt>
                <c:pt idx="2">
                  <c:v>OTHER</c:v>
                </c:pt>
                <c:pt idx="3">
                  <c:v>OWN</c:v>
                </c:pt>
                <c:pt idx="4">
                  <c:v>RENT</c:v>
                </c:pt>
              </c:strCache>
            </c:strRef>
          </c:cat>
          <c:val>
            <c:numRef>
              <c:f>'Sheet Design'!$N$99:$N$103</c:f>
              <c:numCache>
                <c:formatCode>0</c:formatCode>
                <c:ptCount val="5"/>
                <c:pt idx="0">
                  <c:v>16518</c:v>
                </c:pt>
                <c:pt idx="1">
                  <c:v>1</c:v>
                </c:pt>
                <c:pt idx="2">
                  <c:v>92</c:v>
                </c:pt>
                <c:pt idx="3">
                  <c:v>2632</c:v>
                </c:pt>
                <c:pt idx="4">
                  <c:v>16335</c:v>
                </c:pt>
              </c:numCache>
            </c:numRef>
          </c:val>
          <c:extLst>
            <c:ext xmlns:c16="http://schemas.microsoft.com/office/drawing/2014/chart" uri="{C3380CC4-5D6E-409C-BE32-E72D297353CC}">
              <c16:uniqueId val="{00000000-87FB-41EB-8858-7D879D72EB99}"/>
            </c:ext>
          </c:extLst>
        </c:ser>
        <c:dLbls>
          <c:dLblPos val="inBase"/>
          <c:showLegendKey val="0"/>
          <c:showVal val="1"/>
          <c:showCatName val="0"/>
          <c:showSerName val="0"/>
          <c:showPercent val="0"/>
          <c:showBubbleSize val="0"/>
        </c:dLbls>
        <c:gapWidth val="150"/>
        <c:overlap val="100"/>
        <c:axId val="1036147360"/>
        <c:axId val="1992698288"/>
      </c:barChart>
      <c:catAx>
        <c:axId val="1036147360"/>
        <c:scaling>
          <c:orientation val="minMax"/>
        </c:scaling>
        <c:delete val="1"/>
        <c:axPos val="l"/>
        <c:numFmt formatCode="General" sourceLinked="1"/>
        <c:majorTickMark val="none"/>
        <c:minorTickMark val="none"/>
        <c:tickLblPos val="nextTo"/>
        <c:crossAx val="1992698288"/>
        <c:crosses val="autoZero"/>
        <c:auto val="1"/>
        <c:lblAlgn val="ctr"/>
        <c:lblOffset val="100"/>
        <c:noMultiLvlLbl val="0"/>
      </c:catAx>
      <c:valAx>
        <c:axId val="1992698288"/>
        <c:scaling>
          <c:orientation val="minMax"/>
        </c:scaling>
        <c:delete val="1"/>
        <c:axPos val="b"/>
        <c:numFmt formatCode="0" sourceLinked="1"/>
        <c:majorTickMark val="none"/>
        <c:minorTickMark val="none"/>
        <c:tickLblPos val="nextTo"/>
        <c:crossAx val="1036147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spc="150" baseline="0">
                <a:solidFill>
                  <a:srgbClr val="843C0C"/>
                </a:solidFill>
                <a:latin typeface="+mn-lt"/>
                <a:ea typeface="+mn-ea"/>
                <a:cs typeface="+mn-cs"/>
              </a:defRPr>
            </a:pPr>
            <a:r>
              <a:rPr lang="en-US" sz="1100">
                <a:solidFill>
                  <a:srgbClr val="843C0C"/>
                </a:solidFill>
              </a:rPr>
              <a:t>% Charged</a:t>
            </a:r>
            <a:r>
              <a:rPr lang="en-US" sz="1100" baseline="0">
                <a:solidFill>
                  <a:srgbClr val="843C0C"/>
                </a:solidFill>
              </a:rPr>
              <a:t> off &amp; Funded loans based on unemployment rate</a:t>
            </a:r>
            <a:endParaRPr lang="en-US" sz="1100">
              <a:solidFill>
                <a:srgbClr val="843C0C"/>
              </a:solidFill>
            </a:endParaRP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rgbClr val="843C0C"/>
              </a:solidFill>
              <a:latin typeface="+mn-lt"/>
              <a:ea typeface="+mn-ea"/>
              <a:cs typeface="+mn-cs"/>
            </a:defRPr>
          </a:pPr>
          <a:endParaRPr lang="en-US"/>
        </a:p>
      </c:txPr>
    </c:title>
    <c:autoTitleDeleted val="0"/>
    <c:plotArea>
      <c:layout/>
      <c:bubbleChart>
        <c:varyColors val="0"/>
        <c:ser>
          <c:idx val="0"/>
          <c:order val="0"/>
          <c:tx>
            <c:strRef>
              <c:f>'Sheet Design'!$H$179</c:f>
              <c:strCache>
                <c:ptCount val="1"/>
                <c:pt idx="0">
                  <c:v>% Charged Off</c:v>
                </c:pt>
              </c:strCache>
            </c:strRef>
          </c:tx>
          <c:spPr>
            <a:pattFill prst="ltUpDiag">
              <a:fgClr>
                <a:schemeClr val="accent1"/>
              </a:fgClr>
              <a:bgClr>
                <a:schemeClr val="accent1">
                  <a:lumMod val="20000"/>
                  <a:lumOff val="80000"/>
                </a:schemeClr>
              </a:bgClr>
            </a:pattFill>
            <a:ln w="9525" cap="flat" cmpd="sng" algn="ctr">
              <a:solidFill>
                <a:schemeClr val="accent1">
                  <a:alpha val="75000"/>
                </a:schemeClr>
              </a:solidFill>
            </a:ln>
            <a:effectLst>
              <a:innerShdw blurRad="114300">
                <a:schemeClr val="accent1">
                  <a:alpha val="70000"/>
                </a:schemeClr>
              </a:innerShdw>
            </a:effectLst>
          </c:spPr>
          <c:invertIfNegative val="0"/>
          <c:dLbls>
            <c:delete val="1"/>
          </c:dLbls>
          <c:xVal>
            <c:numRef>
              <c:f>'Sheet Design'!$G$180:$G$207</c:f>
              <c:numCache>
                <c:formatCode>General</c:formatCode>
                <c:ptCount val="28"/>
                <c:pt idx="0">
                  <c:v>2.6</c:v>
                </c:pt>
                <c:pt idx="1">
                  <c:v>2.8</c:v>
                </c:pt>
                <c:pt idx="2">
                  <c:v>3.3</c:v>
                </c:pt>
                <c:pt idx="3">
                  <c:v>3.4</c:v>
                </c:pt>
                <c:pt idx="4">
                  <c:v>3.6</c:v>
                </c:pt>
                <c:pt idx="5">
                  <c:v>3.7</c:v>
                </c:pt>
                <c:pt idx="6">
                  <c:v>3.8</c:v>
                </c:pt>
                <c:pt idx="7">
                  <c:v>3.9</c:v>
                </c:pt>
                <c:pt idx="8">
                  <c:v>4</c:v>
                </c:pt>
                <c:pt idx="9">
                  <c:v>4.2</c:v>
                </c:pt>
                <c:pt idx="10">
                  <c:v>4.5</c:v>
                </c:pt>
                <c:pt idx="11">
                  <c:v>4.7</c:v>
                </c:pt>
                <c:pt idx="12">
                  <c:v>4.9000000000000004</c:v>
                </c:pt>
                <c:pt idx="13">
                  <c:v>5.0999999999999996</c:v>
                </c:pt>
                <c:pt idx="14">
                  <c:v>5.2</c:v>
                </c:pt>
                <c:pt idx="15">
                  <c:v>5.4</c:v>
                </c:pt>
                <c:pt idx="16">
                  <c:v>5.5</c:v>
                </c:pt>
                <c:pt idx="17">
                  <c:v>5.6</c:v>
                </c:pt>
                <c:pt idx="18">
                  <c:v>5.7</c:v>
                </c:pt>
                <c:pt idx="19">
                  <c:v>5.9</c:v>
                </c:pt>
                <c:pt idx="20">
                  <c:v>6</c:v>
                </c:pt>
                <c:pt idx="21">
                  <c:v>6.1</c:v>
                </c:pt>
                <c:pt idx="22">
                  <c:v>6.4</c:v>
                </c:pt>
                <c:pt idx="23">
                  <c:v>6.7</c:v>
                </c:pt>
                <c:pt idx="24">
                  <c:v>6.8</c:v>
                </c:pt>
                <c:pt idx="25">
                  <c:v>7.1</c:v>
                </c:pt>
                <c:pt idx="26">
                  <c:v>7.3</c:v>
                </c:pt>
              </c:numCache>
            </c:numRef>
          </c:xVal>
          <c:yVal>
            <c:numRef>
              <c:f>'Sheet Design'!$H$180:$H$207</c:f>
              <c:numCache>
                <c:formatCode>0.00%</c:formatCode>
                <c:ptCount val="28"/>
                <c:pt idx="0">
                  <c:v>0.20588235294117646</c:v>
                </c:pt>
                <c:pt idx="1">
                  <c:v>0.15476190476190477</c:v>
                </c:pt>
                <c:pt idx="2">
                  <c:v>0.1</c:v>
                </c:pt>
                <c:pt idx="3">
                  <c:v>0.12202380952380952</c:v>
                </c:pt>
                <c:pt idx="4">
                  <c:v>0.11666666666666667</c:v>
                </c:pt>
                <c:pt idx="5">
                  <c:v>0.13175675675675674</c:v>
                </c:pt>
                <c:pt idx="6">
                  <c:v>0</c:v>
                </c:pt>
                <c:pt idx="7">
                  <c:v>0.13702384214853386</c:v>
                </c:pt>
                <c:pt idx="8">
                  <c:v>0.12476370510396975</c:v>
                </c:pt>
                <c:pt idx="9">
                  <c:v>0.15757575757575756</c:v>
                </c:pt>
                <c:pt idx="10">
                  <c:v>0.11778846153846154</c:v>
                </c:pt>
                <c:pt idx="11">
                  <c:v>0.17255043227665706</c:v>
                </c:pt>
                <c:pt idx="12">
                  <c:v>0.14229249011857709</c:v>
                </c:pt>
                <c:pt idx="13">
                  <c:v>0.12659963436928701</c:v>
                </c:pt>
                <c:pt idx="14">
                  <c:v>0.15035273368606702</c:v>
                </c:pt>
                <c:pt idx="15">
                  <c:v>0.1143717080511663</c:v>
                </c:pt>
                <c:pt idx="16">
                  <c:v>0.11802973977695168</c:v>
                </c:pt>
                <c:pt idx="17">
                  <c:v>0.11423948220064725</c:v>
                </c:pt>
                <c:pt idx="18">
                  <c:v>0.14014598540145987</c:v>
                </c:pt>
                <c:pt idx="19">
                  <c:v>0.11403508771929824</c:v>
                </c:pt>
                <c:pt idx="20">
                  <c:v>0.16470588235294117</c:v>
                </c:pt>
                <c:pt idx="21">
                  <c:v>0.12920592193808883</c:v>
                </c:pt>
                <c:pt idx="22">
                  <c:v>0.12747524752475248</c:v>
                </c:pt>
                <c:pt idx="23">
                  <c:v>0.14983534577387486</c:v>
                </c:pt>
                <c:pt idx="24">
                  <c:v>0.16666666666666666</c:v>
                </c:pt>
                <c:pt idx="25">
                  <c:v>0.12796086508753862</c:v>
                </c:pt>
                <c:pt idx="26">
                  <c:v>0.1533217290397447</c:v>
                </c:pt>
              </c:numCache>
            </c:numRef>
          </c:yVal>
          <c:bubbleSize>
            <c:numRef>
              <c:f>'Sheet Design'!$I$180:$I$207</c:f>
              <c:numCache>
                <c:formatCode>General</c:formatCode>
                <c:ptCount val="28"/>
                <c:pt idx="0">
                  <c:v>68</c:v>
                </c:pt>
                <c:pt idx="1">
                  <c:v>252</c:v>
                </c:pt>
                <c:pt idx="2">
                  <c:v>260</c:v>
                </c:pt>
                <c:pt idx="3">
                  <c:v>672</c:v>
                </c:pt>
                <c:pt idx="4">
                  <c:v>60</c:v>
                </c:pt>
                <c:pt idx="5">
                  <c:v>592</c:v>
                </c:pt>
                <c:pt idx="6">
                  <c:v>5</c:v>
                </c:pt>
                <c:pt idx="7">
                  <c:v>3649</c:v>
                </c:pt>
                <c:pt idx="8">
                  <c:v>529</c:v>
                </c:pt>
                <c:pt idx="9">
                  <c:v>660</c:v>
                </c:pt>
                <c:pt idx="10">
                  <c:v>416</c:v>
                </c:pt>
                <c:pt idx="11">
                  <c:v>2776</c:v>
                </c:pt>
                <c:pt idx="12">
                  <c:v>759</c:v>
                </c:pt>
                <c:pt idx="13">
                  <c:v>2188</c:v>
                </c:pt>
                <c:pt idx="14">
                  <c:v>2268</c:v>
                </c:pt>
                <c:pt idx="15">
                  <c:v>1329</c:v>
                </c:pt>
                <c:pt idx="16">
                  <c:v>1076</c:v>
                </c:pt>
                <c:pt idx="17">
                  <c:v>3090</c:v>
                </c:pt>
                <c:pt idx="18">
                  <c:v>685</c:v>
                </c:pt>
                <c:pt idx="19">
                  <c:v>1482</c:v>
                </c:pt>
                <c:pt idx="20">
                  <c:v>170</c:v>
                </c:pt>
                <c:pt idx="21">
                  <c:v>1486</c:v>
                </c:pt>
                <c:pt idx="22">
                  <c:v>808</c:v>
                </c:pt>
                <c:pt idx="23">
                  <c:v>1822</c:v>
                </c:pt>
                <c:pt idx="24">
                  <c:v>696</c:v>
                </c:pt>
                <c:pt idx="25">
                  <c:v>3884</c:v>
                </c:pt>
                <c:pt idx="26">
                  <c:v>6894</c:v>
                </c:pt>
              </c:numCache>
            </c:numRef>
          </c:bubbleSize>
          <c:bubble3D val="0"/>
          <c:extLst>
            <c:ext xmlns:c16="http://schemas.microsoft.com/office/drawing/2014/chart" uri="{C3380CC4-5D6E-409C-BE32-E72D297353CC}">
              <c16:uniqueId val="{00000000-96B6-4DA9-AFBD-AC163EDC928D}"/>
            </c:ext>
          </c:extLst>
        </c:ser>
        <c:dLbls>
          <c:dLblPos val="ctr"/>
          <c:showLegendKey val="0"/>
          <c:showVal val="1"/>
          <c:showCatName val="0"/>
          <c:showSerName val="0"/>
          <c:showPercent val="0"/>
          <c:showBubbleSize val="0"/>
        </c:dLbls>
        <c:bubbleScale val="100"/>
        <c:showNegBubbles val="0"/>
        <c:axId val="573533999"/>
        <c:axId val="573539279"/>
      </c:bubbleChart>
      <c:valAx>
        <c:axId val="573533999"/>
        <c:scaling>
          <c:orientation val="minMax"/>
          <c:min val="0"/>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3539279"/>
        <c:crosses val="autoZero"/>
        <c:crossBetween val="midCat"/>
      </c:valAx>
      <c:valAx>
        <c:axId val="573539279"/>
        <c:scaling>
          <c:orientation val="minMax"/>
          <c:min val="0"/>
        </c:scaling>
        <c:delete val="0"/>
        <c:axPos val="l"/>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353399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Design!PivotTable21</c:name>
    <c:fmtId val="34"/>
  </c:pivotSource>
  <c:chart>
    <c:title>
      <c:tx>
        <c:rich>
          <a:bodyPr rot="0" spcFirstLastPara="1" vertOverflow="ellipsis" vert="horz" wrap="square" anchor="ctr" anchorCtr="1"/>
          <a:lstStyle/>
          <a:p>
            <a:pPr>
              <a:defRPr sz="1600" b="1" i="0" u="none" strike="noStrike" kern="1200" baseline="0">
                <a:solidFill>
                  <a:srgbClr val="843C0C"/>
                </a:solidFill>
                <a:latin typeface="+mn-lt"/>
                <a:ea typeface="+mn-ea"/>
                <a:cs typeface="+mn-cs"/>
              </a:defRPr>
            </a:pPr>
            <a:r>
              <a:rPr lang="en-IN" baseline="0">
                <a:solidFill>
                  <a:srgbClr val="843C0C"/>
                </a:solidFill>
              </a:rPr>
              <a:t>Funded Loans Trend Based on State Risk</a:t>
            </a:r>
            <a:endParaRPr lang="en-IN">
              <a:solidFill>
                <a:srgbClr val="843C0C"/>
              </a:solidFill>
            </a:endParaRPr>
          </a:p>
        </c:rich>
      </c:tx>
      <c:overlay val="0"/>
      <c:spPr>
        <a:noFill/>
        <a:ln>
          <a:noFill/>
        </a:ln>
        <a:effectLst/>
      </c:spPr>
      <c:txPr>
        <a:bodyPr rot="0" spcFirstLastPara="1" vertOverflow="ellipsis" vert="horz" wrap="square" anchor="ctr" anchorCtr="1"/>
        <a:lstStyle/>
        <a:p>
          <a:pPr>
            <a:defRPr sz="1600" b="1" i="0" u="none" strike="noStrike" kern="1200" baseline="0">
              <a:solidFill>
                <a:srgbClr val="843C0C"/>
              </a:solidFill>
              <a:latin typeface="+mn-lt"/>
              <a:ea typeface="+mn-ea"/>
              <a:cs typeface="+mn-cs"/>
            </a:defRPr>
          </a:pPr>
          <a:endParaRPr lang="en-IN"/>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1.4038362698135317E-2"/>
              <c:y val="-4.729954530331574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0343053272187129E-2"/>
              <c:y val="4.221840227718014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0893830578869949E-2"/>
              <c:y val="2.813389523492661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4926018863026737E-2"/>
              <c:y val="4.22184022771800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4926018863026737E-2"/>
              <c:y val="4.22184022771800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0893830578869949E-2"/>
              <c:y val="2.813389523492661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0343053272187129E-2"/>
              <c:y val="4.221840227718014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1.4038362698135317E-2"/>
              <c:y val="-4.729954530331574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2"/>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3"/>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14"/>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4926018863026737E-2"/>
              <c:y val="4.22184022771800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5"/>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0893830578869949E-2"/>
              <c:y val="2.813389523492661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6"/>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0343053272187129E-2"/>
              <c:y val="4.221840227718014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7"/>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1.4038362698135317E-2"/>
              <c:y val="-4.729954530331574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8"/>
        <c:spPr>
          <a:ln w="31750" cap="rnd">
            <a:solidFill>
              <a:schemeClr val="accent1"/>
            </a:solidFill>
            <a:round/>
          </a:ln>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 Design'!$K$228:$K$229</c:f>
              <c:strCache>
                <c:ptCount val="1"/>
                <c:pt idx="0">
                  <c:v>High Risk State</c:v>
                </c:pt>
              </c:strCache>
            </c:strRef>
          </c:tx>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 Design'!$J$230:$J$241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Design'!$K$230:$K$241</c:f>
              <c:numCache>
                <c:formatCode>0.0,"K"</c:formatCode>
                <c:ptCount val="12"/>
                <c:pt idx="0">
                  <c:v>1302</c:v>
                </c:pt>
                <c:pt idx="1">
                  <c:v>1262</c:v>
                </c:pt>
                <c:pt idx="2">
                  <c:v>1458</c:v>
                </c:pt>
                <c:pt idx="3">
                  <c:v>1502</c:v>
                </c:pt>
                <c:pt idx="4">
                  <c:v>1599</c:v>
                </c:pt>
                <c:pt idx="5">
                  <c:v>1675</c:v>
                </c:pt>
                <c:pt idx="6">
                  <c:v>1759</c:v>
                </c:pt>
                <c:pt idx="7">
                  <c:v>1886</c:v>
                </c:pt>
                <c:pt idx="8">
                  <c:v>1988</c:v>
                </c:pt>
                <c:pt idx="9">
                  <c:v>2098</c:v>
                </c:pt>
                <c:pt idx="10">
                  <c:v>2124</c:v>
                </c:pt>
                <c:pt idx="11">
                  <c:v>2364</c:v>
                </c:pt>
              </c:numCache>
            </c:numRef>
          </c:val>
          <c:smooth val="0"/>
          <c:extLst>
            <c:ext xmlns:c16="http://schemas.microsoft.com/office/drawing/2014/chart" uri="{C3380CC4-5D6E-409C-BE32-E72D297353CC}">
              <c16:uniqueId val="{00000000-3444-4B8A-B14A-128B0576210F}"/>
            </c:ext>
          </c:extLst>
        </c:ser>
        <c:ser>
          <c:idx val="1"/>
          <c:order val="1"/>
          <c:tx>
            <c:strRef>
              <c:f>'Sheet Design'!$L$228:$L$229</c:f>
              <c:strCache>
                <c:ptCount val="1"/>
                <c:pt idx="0">
                  <c:v>Low Risk State</c:v>
                </c:pt>
              </c:strCache>
            </c:strRef>
          </c:tx>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Pt>
            <c:idx val="8"/>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dPt>
          <c:dPt>
            <c:idx val="9"/>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dPt>
          <c:dPt>
            <c:idx val="10"/>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dPt>
          <c:dPt>
            <c:idx val="11"/>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dPt>
          <c:dLbls>
            <c:dLbl>
              <c:idx val="8"/>
              <c:layout>
                <c:manualLayout>
                  <c:x val="-3.4926018863026737E-2"/>
                  <c:y val="4.2218402277180052E-2"/>
                </c:manualLayout>
              </c:layout>
              <c:dLblPos val="r"/>
              <c:showLegendKey val="0"/>
              <c:showVal val="1"/>
              <c:showCatName val="0"/>
              <c:showSerName val="0"/>
              <c:showPercent val="0"/>
              <c:showBubbleSize val="0"/>
              <c:extLst>
                <c:ext xmlns:c15="http://schemas.microsoft.com/office/drawing/2012/chart" uri="{CE6537A1-D6FC-4f65-9D91-7224C49458BB}"/>
              </c:extLst>
            </c:dLbl>
            <c:dLbl>
              <c:idx val="9"/>
              <c:layout>
                <c:manualLayout>
                  <c:x val="-3.0893830578869949E-2"/>
                  <c:y val="2.8133895234926619E-2"/>
                </c:manualLayout>
              </c:layout>
              <c:dLblPos val="r"/>
              <c:showLegendKey val="0"/>
              <c:showVal val="1"/>
              <c:showCatName val="0"/>
              <c:showSerName val="0"/>
              <c:showPercent val="0"/>
              <c:showBubbleSize val="0"/>
              <c:extLst>
                <c:ext xmlns:c15="http://schemas.microsoft.com/office/drawing/2012/chart" uri="{CE6537A1-D6FC-4f65-9D91-7224C49458BB}"/>
              </c:extLst>
            </c:dLbl>
            <c:dLbl>
              <c:idx val="10"/>
              <c:layout>
                <c:manualLayout>
                  <c:x val="-3.0343053272187129E-2"/>
                  <c:y val="4.2218402277180142E-2"/>
                </c:manualLayout>
              </c:layout>
              <c:dLblPos val="r"/>
              <c:showLegendKey val="0"/>
              <c:showVal val="1"/>
              <c:showCatName val="0"/>
              <c:showSerName val="0"/>
              <c:showPercent val="0"/>
              <c:showBubbleSize val="0"/>
              <c:extLst>
                <c:ext xmlns:c15="http://schemas.microsoft.com/office/drawing/2012/chart" uri="{CE6537A1-D6FC-4f65-9D91-7224C49458BB}"/>
              </c:extLst>
            </c:dLbl>
            <c:dLbl>
              <c:idx val="11"/>
              <c:layout>
                <c:manualLayout>
                  <c:x val="-1.4038362698135317E-2"/>
                  <c:y val="-4.7299545303315744E-3"/>
                </c:manualLayout>
              </c:layout>
              <c:dLblPos val="r"/>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 Design'!$J$230:$J$241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Design'!$L$230:$L$241</c:f>
              <c:numCache>
                <c:formatCode>0.0,"K"</c:formatCode>
                <c:ptCount val="12"/>
                <c:pt idx="0">
                  <c:v>1030</c:v>
                </c:pt>
                <c:pt idx="1">
                  <c:v>1017</c:v>
                </c:pt>
                <c:pt idx="2">
                  <c:v>1169</c:v>
                </c:pt>
                <c:pt idx="3">
                  <c:v>1253</c:v>
                </c:pt>
                <c:pt idx="4">
                  <c:v>1312</c:v>
                </c:pt>
                <c:pt idx="5">
                  <c:v>1509</c:v>
                </c:pt>
                <c:pt idx="6">
                  <c:v>1607</c:v>
                </c:pt>
                <c:pt idx="7">
                  <c:v>1555</c:v>
                </c:pt>
                <c:pt idx="8">
                  <c:v>1548</c:v>
                </c:pt>
                <c:pt idx="9">
                  <c:v>1698</c:v>
                </c:pt>
                <c:pt idx="10">
                  <c:v>1911</c:v>
                </c:pt>
                <c:pt idx="11">
                  <c:v>1950</c:v>
                </c:pt>
              </c:numCache>
            </c:numRef>
          </c:val>
          <c:smooth val="0"/>
          <c:extLst>
            <c:ext xmlns:c16="http://schemas.microsoft.com/office/drawing/2014/chart" uri="{C3380CC4-5D6E-409C-BE32-E72D297353CC}">
              <c16:uniqueId val="{00000006-90A2-4374-8E90-6FF4CE1EE04C}"/>
            </c:ext>
          </c:extLst>
        </c:ser>
        <c:dLbls>
          <c:dLblPos val="t"/>
          <c:showLegendKey val="0"/>
          <c:showVal val="1"/>
          <c:showCatName val="0"/>
          <c:showSerName val="0"/>
          <c:showPercent val="0"/>
          <c:showBubbleSize val="0"/>
        </c:dLbls>
        <c:marker val="1"/>
        <c:smooth val="0"/>
        <c:axId val="1281317504"/>
        <c:axId val="1281310784"/>
      </c:lineChart>
      <c:catAx>
        <c:axId val="1281317504"/>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81310784"/>
        <c:crosses val="autoZero"/>
        <c:auto val="1"/>
        <c:lblAlgn val="ctr"/>
        <c:lblOffset val="100"/>
        <c:noMultiLvlLbl val="0"/>
      </c:catAx>
      <c:valAx>
        <c:axId val="1281310784"/>
        <c:scaling>
          <c:orientation val="minMax"/>
        </c:scaling>
        <c:delete val="1"/>
        <c:axPos val="l"/>
        <c:majorGridlines>
          <c:spPr>
            <a:ln w="9525" cap="flat" cmpd="sng" algn="ctr">
              <a:solidFill>
                <a:schemeClr val="tx2">
                  <a:lumMod val="15000"/>
                  <a:lumOff val="85000"/>
                </a:schemeClr>
              </a:solidFill>
              <a:round/>
            </a:ln>
            <a:effectLst/>
          </c:spPr>
        </c:majorGridlines>
        <c:numFmt formatCode="0.0,&quot;K&quot;" sourceLinked="1"/>
        <c:majorTickMark val="none"/>
        <c:minorTickMark val="none"/>
        <c:tickLblPos val="nextTo"/>
        <c:crossAx val="12813175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Design!PivotTable20</c:name>
    <c:fmtId val="33"/>
  </c:pivotSource>
  <c:chart>
    <c:title>
      <c:tx>
        <c:rich>
          <a:bodyPr rot="0" spcFirstLastPara="1" vertOverflow="ellipsis" vert="horz" wrap="square" anchor="ctr" anchorCtr="1"/>
          <a:lstStyle/>
          <a:p>
            <a:pPr>
              <a:defRPr sz="1800" b="0" i="0" u="none" strike="noStrike" kern="1200" cap="none" spc="50" baseline="0">
                <a:solidFill>
                  <a:srgbClr val="843C0C"/>
                </a:solidFill>
                <a:latin typeface="+mn-lt"/>
                <a:ea typeface="+mn-ea"/>
                <a:cs typeface="+mn-cs"/>
              </a:defRPr>
            </a:pPr>
            <a:r>
              <a:rPr lang="en-IN">
                <a:solidFill>
                  <a:srgbClr val="843C0C"/>
                </a:solidFill>
              </a:rPr>
              <a:t>Total</a:t>
            </a:r>
            <a:r>
              <a:rPr lang="en-IN" baseline="0">
                <a:solidFill>
                  <a:srgbClr val="843C0C"/>
                </a:solidFill>
              </a:rPr>
              <a:t> Funded Amount in States</a:t>
            </a:r>
            <a:endParaRPr lang="en-IN">
              <a:solidFill>
                <a:srgbClr val="843C0C"/>
              </a:solidFill>
            </a:endParaRPr>
          </a:p>
        </c:rich>
      </c:tx>
      <c:overlay val="0"/>
      <c:spPr>
        <a:noFill/>
        <a:ln>
          <a:noFill/>
        </a:ln>
        <a:effectLst/>
      </c:spPr>
      <c:txPr>
        <a:bodyPr rot="0" spcFirstLastPara="1" vertOverflow="ellipsis" vert="horz" wrap="square" anchor="ctr" anchorCtr="1"/>
        <a:lstStyle/>
        <a:p>
          <a:pPr>
            <a:defRPr sz="1800" b="0" i="0" u="none" strike="noStrike" kern="1200" cap="none" spc="50" baseline="0">
              <a:solidFill>
                <a:srgbClr val="843C0C"/>
              </a:solidFill>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noFill/>
          <a:ln w="25400" cap="flat" cmpd="sng" algn="ctr">
            <a:solidFill>
              <a:schemeClr val="accent1"/>
            </a:solidFill>
            <a:miter lim="800000"/>
          </a:ln>
          <a:effectLst/>
        </c:spPr>
        <c:marker>
          <c:symbol val="circle"/>
          <c:size val="6"/>
          <c:spPr>
            <a:noFill/>
            <a:ln w="19050" cap="rnd">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4"/>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 Design'!$D$226</c:f>
              <c:strCache>
                <c:ptCount val="1"/>
                <c:pt idx="0">
                  <c:v>Total</c:v>
                </c:pt>
              </c:strCache>
            </c:strRef>
          </c:tx>
          <c:spPr>
            <a:noFill/>
            <a:ln w="25400" cap="flat" cmpd="sng" algn="ctr">
              <a:solidFill>
                <a:schemeClr val="accent1"/>
              </a:solidFill>
              <a:miter lim="800000"/>
            </a:ln>
            <a:effectLst/>
          </c:spPr>
          <c:invertIfNegative val="0"/>
          <c:cat>
            <c:strRef>
              <c:f>'Sheet Design'!$C$227:$C$276</c:f>
              <c:strCache>
                <c:ptCount val="50"/>
                <c:pt idx="0">
                  <c:v>CA</c:v>
                </c:pt>
                <c:pt idx="1">
                  <c:v>NY</c:v>
                </c:pt>
                <c:pt idx="2">
                  <c:v>TX</c:v>
                </c:pt>
                <c:pt idx="3">
                  <c:v>FL</c:v>
                </c:pt>
                <c:pt idx="4">
                  <c:v>NJ</c:v>
                </c:pt>
                <c:pt idx="5">
                  <c:v>IL</c:v>
                </c:pt>
                <c:pt idx="6">
                  <c:v>VA</c:v>
                </c:pt>
                <c:pt idx="7">
                  <c:v>PA</c:v>
                </c:pt>
                <c:pt idx="8">
                  <c:v>GA</c:v>
                </c:pt>
                <c:pt idx="9">
                  <c:v>MA</c:v>
                </c:pt>
                <c:pt idx="10">
                  <c:v>OH</c:v>
                </c:pt>
                <c:pt idx="11">
                  <c:v>MD</c:v>
                </c:pt>
                <c:pt idx="12">
                  <c:v>AZ</c:v>
                </c:pt>
                <c:pt idx="13">
                  <c:v>CO</c:v>
                </c:pt>
                <c:pt idx="14">
                  <c:v>WA</c:v>
                </c:pt>
                <c:pt idx="15">
                  <c:v>NC</c:v>
                </c:pt>
                <c:pt idx="16">
                  <c:v>CT</c:v>
                </c:pt>
                <c:pt idx="17">
                  <c:v>MI</c:v>
                </c:pt>
                <c:pt idx="18">
                  <c:v>MO</c:v>
                </c:pt>
                <c:pt idx="19">
                  <c:v>MN</c:v>
                </c:pt>
                <c:pt idx="20">
                  <c:v>NV</c:v>
                </c:pt>
                <c:pt idx="21">
                  <c:v>SC</c:v>
                </c:pt>
                <c:pt idx="22">
                  <c:v>WI</c:v>
                </c:pt>
                <c:pt idx="23">
                  <c:v>AL</c:v>
                </c:pt>
                <c:pt idx="24">
                  <c:v>OR</c:v>
                </c:pt>
                <c:pt idx="25">
                  <c:v>LA</c:v>
                </c:pt>
                <c:pt idx="26">
                  <c:v>KY</c:v>
                </c:pt>
                <c:pt idx="27">
                  <c:v>OK</c:v>
                </c:pt>
                <c:pt idx="28">
                  <c:v>KS</c:v>
                </c:pt>
                <c:pt idx="29">
                  <c:v>UT</c:v>
                </c:pt>
                <c:pt idx="30">
                  <c:v>DC</c:v>
                </c:pt>
                <c:pt idx="31">
                  <c:v>AR</c:v>
                </c:pt>
                <c:pt idx="32">
                  <c:v>NH</c:v>
                </c:pt>
                <c:pt idx="33">
                  <c:v>NM</c:v>
                </c:pt>
                <c:pt idx="34">
                  <c:v>RI</c:v>
                </c:pt>
                <c:pt idx="35">
                  <c:v>HI</c:v>
                </c:pt>
                <c:pt idx="36">
                  <c:v>WV</c:v>
                </c:pt>
                <c:pt idx="37">
                  <c:v>DE</c:v>
                </c:pt>
                <c:pt idx="38">
                  <c:v>AK</c:v>
                </c:pt>
                <c:pt idx="39">
                  <c:v>WY</c:v>
                </c:pt>
                <c:pt idx="40">
                  <c:v>MT</c:v>
                </c:pt>
                <c:pt idx="41">
                  <c:v>SD</c:v>
                </c:pt>
                <c:pt idx="42">
                  <c:v>VT</c:v>
                </c:pt>
                <c:pt idx="43">
                  <c:v>TN</c:v>
                </c:pt>
                <c:pt idx="44">
                  <c:v>MS</c:v>
                </c:pt>
                <c:pt idx="45">
                  <c:v>IN</c:v>
                </c:pt>
                <c:pt idx="46">
                  <c:v>ID</c:v>
                </c:pt>
                <c:pt idx="47">
                  <c:v>IA</c:v>
                </c:pt>
                <c:pt idx="48">
                  <c:v>NE</c:v>
                </c:pt>
                <c:pt idx="49">
                  <c:v>ME</c:v>
                </c:pt>
              </c:strCache>
            </c:strRef>
          </c:cat>
          <c:val>
            <c:numRef>
              <c:f>'Sheet Design'!$D$227:$D$276</c:f>
              <c:numCache>
                <c:formatCode>\$0.0,,"M"</c:formatCode>
                <c:ptCount val="50"/>
                <c:pt idx="0">
                  <c:v>78484125</c:v>
                </c:pt>
                <c:pt idx="1">
                  <c:v>42077050</c:v>
                </c:pt>
                <c:pt idx="2">
                  <c:v>31236650</c:v>
                </c:pt>
                <c:pt idx="3">
                  <c:v>30046125</c:v>
                </c:pt>
                <c:pt idx="4">
                  <c:v>21657475</c:v>
                </c:pt>
                <c:pt idx="5">
                  <c:v>17124225</c:v>
                </c:pt>
                <c:pt idx="6">
                  <c:v>15982650</c:v>
                </c:pt>
                <c:pt idx="7">
                  <c:v>15826525</c:v>
                </c:pt>
                <c:pt idx="8">
                  <c:v>15480325</c:v>
                </c:pt>
                <c:pt idx="9">
                  <c:v>15051000</c:v>
                </c:pt>
                <c:pt idx="10">
                  <c:v>12991375</c:v>
                </c:pt>
                <c:pt idx="11">
                  <c:v>11911400</c:v>
                </c:pt>
                <c:pt idx="12">
                  <c:v>9206000</c:v>
                </c:pt>
                <c:pt idx="13">
                  <c:v>8976000</c:v>
                </c:pt>
                <c:pt idx="14">
                  <c:v>8855525</c:v>
                </c:pt>
                <c:pt idx="15">
                  <c:v>8787575</c:v>
                </c:pt>
                <c:pt idx="16">
                  <c:v>8435575</c:v>
                </c:pt>
                <c:pt idx="17">
                  <c:v>7829900</c:v>
                </c:pt>
                <c:pt idx="18">
                  <c:v>7151175</c:v>
                </c:pt>
                <c:pt idx="19">
                  <c:v>6302600</c:v>
                </c:pt>
                <c:pt idx="20">
                  <c:v>5307375</c:v>
                </c:pt>
                <c:pt idx="21">
                  <c:v>5080475</c:v>
                </c:pt>
                <c:pt idx="22">
                  <c:v>5070450</c:v>
                </c:pt>
                <c:pt idx="23">
                  <c:v>4949225</c:v>
                </c:pt>
                <c:pt idx="24">
                  <c:v>4720150</c:v>
                </c:pt>
                <c:pt idx="25">
                  <c:v>4498900</c:v>
                </c:pt>
                <c:pt idx="26">
                  <c:v>3504100</c:v>
                </c:pt>
                <c:pt idx="27">
                  <c:v>3365725</c:v>
                </c:pt>
                <c:pt idx="28">
                  <c:v>2872325</c:v>
                </c:pt>
                <c:pt idx="29">
                  <c:v>2849225</c:v>
                </c:pt>
                <c:pt idx="30">
                  <c:v>2652350</c:v>
                </c:pt>
                <c:pt idx="31">
                  <c:v>2529700</c:v>
                </c:pt>
                <c:pt idx="32">
                  <c:v>1917900</c:v>
                </c:pt>
                <c:pt idx="33">
                  <c:v>1916775</c:v>
                </c:pt>
                <c:pt idx="34">
                  <c:v>1883025</c:v>
                </c:pt>
                <c:pt idx="35">
                  <c:v>1850525</c:v>
                </c:pt>
                <c:pt idx="36">
                  <c:v>1830525</c:v>
                </c:pt>
                <c:pt idx="37">
                  <c:v>1138100</c:v>
                </c:pt>
                <c:pt idx="38">
                  <c:v>1031800</c:v>
                </c:pt>
                <c:pt idx="39">
                  <c:v>890750</c:v>
                </c:pt>
                <c:pt idx="40">
                  <c:v>829525</c:v>
                </c:pt>
                <c:pt idx="41">
                  <c:v>606150</c:v>
                </c:pt>
                <c:pt idx="42">
                  <c:v>504100</c:v>
                </c:pt>
                <c:pt idx="43">
                  <c:v>162175</c:v>
                </c:pt>
                <c:pt idx="44">
                  <c:v>139125</c:v>
                </c:pt>
                <c:pt idx="45">
                  <c:v>86225</c:v>
                </c:pt>
                <c:pt idx="46">
                  <c:v>59750</c:v>
                </c:pt>
                <c:pt idx="47">
                  <c:v>56450</c:v>
                </c:pt>
                <c:pt idx="48">
                  <c:v>31700</c:v>
                </c:pt>
                <c:pt idx="49">
                  <c:v>9200</c:v>
                </c:pt>
              </c:numCache>
            </c:numRef>
          </c:val>
          <c:extLst>
            <c:ext xmlns:c16="http://schemas.microsoft.com/office/drawing/2014/chart" uri="{C3380CC4-5D6E-409C-BE32-E72D297353CC}">
              <c16:uniqueId val="{00000000-2771-4054-BBD9-08305FFC63BD}"/>
            </c:ext>
          </c:extLst>
        </c:ser>
        <c:dLbls>
          <c:showLegendKey val="0"/>
          <c:showVal val="0"/>
          <c:showCatName val="0"/>
          <c:showSerName val="0"/>
          <c:showPercent val="0"/>
          <c:showBubbleSize val="0"/>
        </c:dLbls>
        <c:gapWidth val="164"/>
        <c:overlap val="-35"/>
        <c:axId val="387659471"/>
        <c:axId val="387659951"/>
      </c:barChart>
      <c:catAx>
        <c:axId val="3876594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387659951"/>
        <c:crosses val="autoZero"/>
        <c:auto val="1"/>
        <c:lblAlgn val="ctr"/>
        <c:lblOffset val="100"/>
        <c:noMultiLvlLbl val="0"/>
      </c:catAx>
      <c:valAx>
        <c:axId val="387659951"/>
        <c:scaling>
          <c:orientation val="minMax"/>
        </c:scaling>
        <c:delete val="0"/>
        <c:axPos val="l"/>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387659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Design!PivotTable4</c:name>
    <c:fmtId val="3"/>
  </c:pivotSource>
  <c:chart>
    <c:autoTitleDeleted val="1"/>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ln w="19050" cap="rnd">
            <a:solidFill>
              <a:schemeClr val="accent1"/>
            </a:solidFill>
            <a:round/>
          </a:ln>
          <a:effectLst/>
        </c:spPr>
        <c:marker>
          <c:symbol val="circle"/>
          <c:size val="5"/>
          <c:spPr>
            <a:solidFill>
              <a:schemeClr val="accent2"/>
            </a:solidFill>
            <a:ln w="317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bg2">
                <a:lumMod val="50000"/>
              </a:schemeClr>
            </a:solidFill>
            <a:round/>
          </a:ln>
          <a:effectLst/>
        </c:spPr>
        <c:marker>
          <c:symbol val="square"/>
          <c:size val="4"/>
          <c:spPr>
            <a:solidFill>
              <a:schemeClr val="tx1">
                <a:lumMod val="65000"/>
                <a:lumOff val="35000"/>
              </a:schemeClr>
            </a:solidFill>
            <a:ln w="952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5964694334957194E-2"/>
          <c:y val="6.6773135642790013E-2"/>
          <c:w val="0.94807061133008563"/>
          <c:h val="0.68241925554964056"/>
        </c:manualLayout>
      </c:layout>
      <c:lineChart>
        <c:grouping val="standard"/>
        <c:varyColors val="0"/>
        <c:ser>
          <c:idx val="0"/>
          <c:order val="0"/>
          <c:tx>
            <c:strRef>
              <c:f>'Sheet Design'!$D$22</c:f>
              <c:strCache>
                <c:ptCount val="1"/>
                <c:pt idx="0">
                  <c:v>Total Received Amount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Design'!$C$23:$C$35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Design'!$D$23:$D$35</c:f>
              <c:numCache>
                <c:formatCode>\$0,,"M"</c:formatCode>
                <c:ptCount val="12"/>
                <c:pt idx="0">
                  <c:v>27578836</c:v>
                </c:pt>
                <c:pt idx="1">
                  <c:v>27717745</c:v>
                </c:pt>
                <c:pt idx="2">
                  <c:v>32264400</c:v>
                </c:pt>
                <c:pt idx="3">
                  <c:v>32495533</c:v>
                </c:pt>
                <c:pt idx="4">
                  <c:v>33750523</c:v>
                </c:pt>
                <c:pt idx="5">
                  <c:v>36164533</c:v>
                </c:pt>
                <c:pt idx="6">
                  <c:v>38827220</c:v>
                </c:pt>
                <c:pt idx="7">
                  <c:v>42682218</c:v>
                </c:pt>
                <c:pt idx="8">
                  <c:v>43983948</c:v>
                </c:pt>
                <c:pt idx="9">
                  <c:v>49399567</c:v>
                </c:pt>
                <c:pt idx="10">
                  <c:v>50132030</c:v>
                </c:pt>
                <c:pt idx="11">
                  <c:v>58074380</c:v>
                </c:pt>
              </c:numCache>
            </c:numRef>
          </c:val>
          <c:smooth val="0"/>
          <c:extLst>
            <c:ext xmlns:c16="http://schemas.microsoft.com/office/drawing/2014/chart" uri="{C3380CC4-5D6E-409C-BE32-E72D297353CC}">
              <c16:uniqueId val="{00000000-7AEB-4494-A20A-C4D0C729760B}"/>
            </c:ext>
          </c:extLst>
        </c:ser>
        <c:ser>
          <c:idx val="1"/>
          <c:order val="1"/>
          <c:tx>
            <c:strRef>
              <c:f>'Sheet Design'!$E$22</c:f>
              <c:strCache>
                <c:ptCount val="1"/>
                <c:pt idx="0">
                  <c:v>Total Funded Amount</c:v>
                </c:pt>
              </c:strCache>
            </c:strRef>
          </c:tx>
          <c:spPr>
            <a:ln w="19050" cap="rnd">
              <a:solidFill>
                <a:schemeClr val="accent2"/>
              </a:solidFill>
              <a:round/>
            </a:ln>
            <a:effectLst/>
          </c:spPr>
          <c:marker>
            <c:symbol val="circle"/>
            <c:size val="5"/>
            <c:spPr>
              <a:solidFill>
                <a:schemeClr val="accent2"/>
              </a:solidFill>
              <a:ln w="3175">
                <a:solidFill>
                  <a:schemeClr val="bg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Design'!$C$23:$C$35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Design'!$E$23:$E$35</c:f>
              <c:numCache>
                <c:formatCode>\$0,,"M"</c:formatCode>
                <c:ptCount val="12"/>
                <c:pt idx="0">
                  <c:v>25031650</c:v>
                </c:pt>
                <c:pt idx="1">
                  <c:v>24647825</c:v>
                </c:pt>
                <c:pt idx="2">
                  <c:v>28875700</c:v>
                </c:pt>
                <c:pt idx="3">
                  <c:v>29800800</c:v>
                </c:pt>
                <c:pt idx="4">
                  <c:v>31738350</c:v>
                </c:pt>
                <c:pt idx="5">
                  <c:v>34161475</c:v>
                </c:pt>
                <c:pt idx="6">
                  <c:v>35813900</c:v>
                </c:pt>
                <c:pt idx="7">
                  <c:v>38149600</c:v>
                </c:pt>
                <c:pt idx="8">
                  <c:v>40907725</c:v>
                </c:pt>
                <c:pt idx="9">
                  <c:v>44893800</c:v>
                </c:pt>
                <c:pt idx="10">
                  <c:v>47754825</c:v>
                </c:pt>
                <c:pt idx="11">
                  <c:v>53981425</c:v>
                </c:pt>
              </c:numCache>
            </c:numRef>
          </c:val>
          <c:smooth val="0"/>
          <c:extLst>
            <c:ext xmlns:c16="http://schemas.microsoft.com/office/drawing/2014/chart" uri="{C3380CC4-5D6E-409C-BE32-E72D297353CC}">
              <c16:uniqueId val="{00000004-022C-4A62-A76E-1202DFC84D04}"/>
            </c:ext>
          </c:extLst>
        </c:ser>
        <c:ser>
          <c:idx val="2"/>
          <c:order val="2"/>
          <c:tx>
            <c:strRef>
              <c:f>'Sheet Design'!$F$22</c:f>
              <c:strCache>
                <c:ptCount val="1"/>
                <c:pt idx="0">
                  <c:v>expected total payment</c:v>
                </c:pt>
              </c:strCache>
            </c:strRef>
          </c:tx>
          <c:spPr>
            <a:ln w="28575" cap="rnd">
              <a:solidFill>
                <a:schemeClr val="bg2">
                  <a:lumMod val="50000"/>
                </a:schemeClr>
              </a:solidFill>
              <a:round/>
            </a:ln>
            <a:effectLst/>
          </c:spPr>
          <c:marker>
            <c:symbol val="square"/>
            <c:size val="4"/>
            <c:spPr>
              <a:solidFill>
                <a:schemeClr val="tx1">
                  <a:lumMod val="65000"/>
                  <a:lumOff val="35000"/>
                </a:schemeClr>
              </a:solidFill>
              <a:ln w="9525">
                <a:solidFill>
                  <a:schemeClr val="bg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Design'!$C$23:$C$35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Design'!$F$23:$F$35</c:f>
              <c:numCache>
                <c:formatCode>\$0,,"M"</c:formatCode>
                <c:ptCount val="12"/>
                <c:pt idx="0">
                  <c:v>30856727.280000001</c:v>
                </c:pt>
                <c:pt idx="1">
                  <c:v>30910687.800000001</c:v>
                </c:pt>
                <c:pt idx="2">
                  <c:v>36496550.399999999</c:v>
                </c:pt>
                <c:pt idx="3">
                  <c:v>36837482.399999999</c:v>
                </c:pt>
                <c:pt idx="4">
                  <c:v>38905189.079999998</c:v>
                </c:pt>
                <c:pt idx="5">
                  <c:v>41688072.479999997</c:v>
                </c:pt>
                <c:pt idx="6">
                  <c:v>44527424.520000003</c:v>
                </c:pt>
                <c:pt idx="7">
                  <c:v>48805190.759999998</c:v>
                </c:pt>
                <c:pt idx="8">
                  <c:v>51033969.719999999</c:v>
                </c:pt>
                <c:pt idx="9">
                  <c:v>57069318.719999999</c:v>
                </c:pt>
                <c:pt idx="10">
                  <c:v>58772541.960000001</c:v>
                </c:pt>
                <c:pt idx="11">
                  <c:v>67675656</c:v>
                </c:pt>
              </c:numCache>
            </c:numRef>
          </c:val>
          <c:smooth val="0"/>
          <c:extLst>
            <c:ext xmlns:c16="http://schemas.microsoft.com/office/drawing/2014/chart" uri="{C3380CC4-5D6E-409C-BE32-E72D297353CC}">
              <c16:uniqueId val="{00000006-022C-4A62-A76E-1202DFC84D04}"/>
            </c:ext>
          </c:extLst>
        </c:ser>
        <c:dLbls>
          <c:showLegendKey val="0"/>
          <c:showVal val="0"/>
          <c:showCatName val="0"/>
          <c:showSerName val="0"/>
          <c:showPercent val="0"/>
          <c:showBubbleSize val="0"/>
        </c:dLbls>
        <c:marker val="1"/>
        <c:smooth val="0"/>
        <c:axId val="1934958975"/>
        <c:axId val="1934954175"/>
      </c:lineChart>
      <c:catAx>
        <c:axId val="19349589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4954175"/>
        <c:crosses val="autoZero"/>
        <c:auto val="1"/>
        <c:lblAlgn val="ctr"/>
        <c:lblOffset val="100"/>
        <c:noMultiLvlLbl val="0"/>
      </c:catAx>
      <c:valAx>
        <c:axId val="1934954175"/>
        <c:scaling>
          <c:orientation val="minMax"/>
        </c:scaling>
        <c:delete val="1"/>
        <c:axPos val="l"/>
        <c:numFmt formatCode="\$0,,&quot;M&quot;" sourceLinked="1"/>
        <c:majorTickMark val="none"/>
        <c:minorTickMark val="none"/>
        <c:tickLblPos val="nextTo"/>
        <c:crossAx val="1934958975"/>
        <c:crosses val="autoZero"/>
        <c:crossBetween val="between"/>
      </c:valAx>
      <c:spPr>
        <a:solidFill>
          <a:schemeClr val="tx2">
            <a:lumMod val="60000"/>
            <a:lumOff val="40000"/>
          </a:schemeClr>
        </a:solidFill>
        <a:ln>
          <a:solidFill>
            <a:srgbClr val="F4F4F4"/>
          </a:solid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c:name>
    <c:fmtId val="4"/>
  </c:pivotSource>
  <c:chart>
    <c:autoTitleDeleted val="1"/>
    <c:pivotFmts>
      <c:pivotFmt>
        <c:idx val="0"/>
        <c:spPr>
          <a:solidFill>
            <a:schemeClr val="accent5">
              <a:lumMod val="20000"/>
              <a:lumOff val="80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5">
              <a:lumMod val="20000"/>
              <a:lumOff val="80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20000"/>
              <a:lumOff val="80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lumMod val="75000"/>
            </a:schemeClr>
          </a:solidFill>
          <a:ln w="19050">
            <a:solidFill>
              <a:schemeClr val="lt1"/>
            </a:solidFill>
          </a:ln>
          <a:effectLst/>
        </c:spPr>
        <c:dLbl>
          <c:idx val="0"/>
          <c:layout>
            <c:manualLayout>
              <c:x val="5.2777777777777778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5">
              <a:lumMod val="20000"/>
              <a:lumOff val="80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5">
              <a:lumMod val="20000"/>
              <a:lumOff val="80000"/>
            </a:schemeClr>
          </a:solidFill>
          <a:ln w="19050">
            <a:solidFill>
              <a:schemeClr val="lt1"/>
            </a:solidFill>
          </a:ln>
          <a:effectLst/>
        </c:spPr>
        <c:dLbl>
          <c:idx val="0"/>
          <c:layout>
            <c:manualLayout>
              <c:x val="5.5555555555555046E-3"/>
              <c:y val="6.018518518518518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'Sheet Design'!$C$9</c:f>
              <c:strCache>
                <c:ptCount val="1"/>
                <c:pt idx="0">
                  <c:v>Total</c:v>
                </c:pt>
              </c:strCache>
            </c:strRef>
          </c:tx>
          <c:spPr>
            <a:solidFill>
              <a:schemeClr val="accent5">
                <a:lumMod val="20000"/>
                <a:lumOff val="80000"/>
              </a:schemeClr>
            </a:solidFill>
          </c:spPr>
          <c:dPt>
            <c:idx val="0"/>
            <c:bubble3D val="0"/>
            <c:spPr>
              <a:solidFill>
                <a:schemeClr val="accent2">
                  <a:lumMod val="75000"/>
                </a:schemeClr>
              </a:solidFill>
              <a:ln w="19050">
                <a:solidFill>
                  <a:schemeClr val="lt1"/>
                </a:solidFill>
              </a:ln>
              <a:effectLst/>
            </c:spPr>
            <c:extLst>
              <c:ext xmlns:c16="http://schemas.microsoft.com/office/drawing/2014/chart" uri="{C3380CC4-5D6E-409C-BE32-E72D297353CC}">
                <c16:uniqueId val="{00000004-27D7-45A4-8152-F880E4D735D4}"/>
              </c:ext>
            </c:extLst>
          </c:dPt>
          <c:dPt>
            <c:idx val="1"/>
            <c:bubble3D val="0"/>
            <c:spPr>
              <a:solidFill>
                <a:schemeClr val="accent5">
                  <a:lumMod val="20000"/>
                  <a:lumOff val="80000"/>
                </a:schemeClr>
              </a:solidFill>
              <a:ln w="19050">
                <a:solidFill>
                  <a:schemeClr val="lt1"/>
                </a:solidFill>
              </a:ln>
              <a:effectLst/>
            </c:spPr>
            <c:extLst>
              <c:ext xmlns:c16="http://schemas.microsoft.com/office/drawing/2014/chart" uri="{C3380CC4-5D6E-409C-BE32-E72D297353CC}">
                <c16:uniqueId val="{00000003-27D7-45A4-8152-F880E4D735D4}"/>
              </c:ext>
            </c:extLst>
          </c:dPt>
          <c:dPt>
            <c:idx val="2"/>
            <c:bubble3D val="0"/>
            <c:spPr>
              <a:solidFill>
                <a:schemeClr val="accent5">
                  <a:lumMod val="20000"/>
                  <a:lumOff val="80000"/>
                </a:schemeClr>
              </a:solidFill>
              <a:ln w="19050">
                <a:solidFill>
                  <a:schemeClr val="lt1"/>
                </a:solidFill>
              </a:ln>
              <a:effectLst/>
            </c:spPr>
            <c:extLst>
              <c:ext xmlns:c16="http://schemas.microsoft.com/office/drawing/2014/chart" uri="{C3380CC4-5D6E-409C-BE32-E72D297353CC}">
                <c16:uniqueId val="{00000002-27D7-45A4-8152-F880E4D735D4}"/>
              </c:ext>
            </c:extLst>
          </c:dPt>
          <c:dPt>
            <c:idx val="3"/>
            <c:bubble3D val="0"/>
            <c:spPr>
              <a:solidFill>
                <a:schemeClr val="accent5">
                  <a:lumMod val="20000"/>
                  <a:lumOff val="80000"/>
                </a:schemeClr>
              </a:solidFill>
              <a:ln w="19050">
                <a:solidFill>
                  <a:schemeClr val="lt1"/>
                </a:solidFill>
              </a:ln>
              <a:effectLst/>
            </c:spPr>
            <c:extLst>
              <c:ext xmlns:c16="http://schemas.microsoft.com/office/drawing/2014/chart" uri="{C3380CC4-5D6E-409C-BE32-E72D297353CC}">
                <c16:uniqueId val="{00000005-27D7-45A4-8152-F880E4D735D4}"/>
              </c:ext>
            </c:extLst>
          </c:dPt>
          <c:dPt>
            <c:idx val="4"/>
            <c:bubble3D val="0"/>
            <c:spPr>
              <a:solidFill>
                <a:schemeClr val="accent5">
                  <a:lumMod val="20000"/>
                  <a:lumOff val="80000"/>
                </a:schemeClr>
              </a:solidFill>
              <a:ln w="19050">
                <a:solidFill>
                  <a:schemeClr val="lt1"/>
                </a:solidFill>
              </a:ln>
              <a:effectLst/>
            </c:spPr>
            <c:extLst>
              <c:ext xmlns:c16="http://schemas.microsoft.com/office/drawing/2014/chart" uri="{C3380CC4-5D6E-409C-BE32-E72D297353CC}">
                <c16:uniqueId val="{00000006-27D7-45A4-8152-F880E4D735D4}"/>
              </c:ext>
            </c:extLst>
          </c:dPt>
          <c:dLbls>
            <c:dLbl>
              <c:idx val="0"/>
              <c:layout>
                <c:manualLayout>
                  <c:x val="5.2777777777777778E-2"/>
                  <c:y val="-3.7037037037037035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27D7-45A4-8152-F880E4D735D4}"/>
                </c:ext>
              </c:extLst>
            </c:dLbl>
            <c:dLbl>
              <c:idx val="1"/>
              <c:delete val="1"/>
              <c:extLst>
                <c:ext xmlns:c15="http://schemas.microsoft.com/office/drawing/2012/chart" uri="{CE6537A1-D6FC-4f65-9D91-7224C49458BB}"/>
                <c:ext xmlns:c16="http://schemas.microsoft.com/office/drawing/2014/chart" uri="{C3380CC4-5D6E-409C-BE32-E72D297353CC}">
                  <c16:uniqueId val="{00000003-27D7-45A4-8152-F880E4D735D4}"/>
                </c:ext>
              </c:extLst>
            </c:dLbl>
            <c:dLbl>
              <c:idx val="2"/>
              <c:delete val="1"/>
              <c:extLst>
                <c:ext xmlns:c15="http://schemas.microsoft.com/office/drawing/2012/chart" uri="{CE6537A1-D6FC-4f65-9D91-7224C49458BB}"/>
                <c:ext xmlns:c16="http://schemas.microsoft.com/office/drawing/2014/chart" uri="{C3380CC4-5D6E-409C-BE32-E72D297353CC}">
                  <c16:uniqueId val="{00000002-27D7-45A4-8152-F880E4D735D4}"/>
                </c:ext>
              </c:extLst>
            </c:dLbl>
            <c:dLbl>
              <c:idx val="3"/>
              <c:delete val="1"/>
              <c:extLst>
                <c:ext xmlns:c15="http://schemas.microsoft.com/office/drawing/2012/chart" uri="{CE6537A1-D6FC-4f65-9D91-7224C49458BB}"/>
                <c:ext xmlns:c16="http://schemas.microsoft.com/office/drawing/2014/chart" uri="{C3380CC4-5D6E-409C-BE32-E72D297353CC}">
                  <c16:uniqueId val="{00000005-27D7-45A4-8152-F880E4D735D4}"/>
                </c:ext>
              </c:extLst>
            </c:dLbl>
            <c:dLbl>
              <c:idx val="4"/>
              <c:layout>
                <c:manualLayout>
                  <c:x val="5.5555555555555046E-3"/>
                  <c:y val="6.018518518518518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6-27D7-45A4-8152-F880E4D735D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 Design'!$B$10:$B$15</c:f>
              <c:strCache>
                <c:ptCount val="5"/>
                <c:pt idx="0">
                  <c:v>MORTGAGE</c:v>
                </c:pt>
                <c:pt idx="1">
                  <c:v>NONE</c:v>
                </c:pt>
                <c:pt idx="2">
                  <c:v>OTHER</c:v>
                </c:pt>
                <c:pt idx="3">
                  <c:v>OWN</c:v>
                </c:pt>
                <c:pt idx="4">
                  <c:v>RENT</c:v>
                </c:pt>
              </c:strCache>
            </c:strRef>
          </c:cat>
          <c:val>
            <c:numRef>
              <c:f>'Sheet Design'!$C$10:$C$15</c:f>
              <c:numCache>
                <c:formatCode>0</c:formatCode>
                <c:ptCount val="5"/>
                <c:pt idx="0">
                  <c:v>17198</c:v>
                </c:pt>
                <c:pt idx="1">
                  <c:v>3</c:v>
                </c:pt>
                <c:pt idx="2">
                  <c:v>98</c:v>
                </c:pt>
                <c:pt idx="3">
                  <c:v>2838</c:v>
                </c:pt>
                <c:pt idx="4">
                  <c:v>18439</c:v>
                </c:pt>
              </c:numCache>
            </c:numRef>
          </c:val>
          <c:extLst>
            <c:ext xmlns:c16="http://schemas.microsoft.com/office/drawing/2014/chart" uri="{C3380CC4-5D6E-409C-BE32-E72D297353CC}">
              <c16:uniqueId val="{00000000-27D7-45A4-8152-F880E4D735D4}"/>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Design!PivotTable2</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6.2028043513405143E-2"/>
              <c:y val="-4.21824607321147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20000"/>
              <a:lumOff val="80000"/>
            </a:schemeClr>
          </a:solidFill>
          <a:ln w="19050">
            <a:solidFill>
              <a:schemeClr val="lt1"/>
            </a:solidFill>
          </a:ln>
          <a:effectLst>
            <a:outerShdw blurRad="50800" dist="38100" dir="5400000" algn="ctr" rotWithShape="0">
              <a:srgbClr val="000000">
                <a:alpha val="43137"/>
              </a:srgbClr>
            </a:outerShdw>
          </a:effectLst>
        </c:spPr>
        <c:dLbl>
          <c:idx val="0"/>
          <c:layout>
            <c:manualLayout>
              <c:x val="2.4811217405362056E-2"/>
              <c:y val="-9.49105366472584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483315119029034"/>
          <c:y val="3.659499426582373E-2"/>
          <c:w val="0.75127818157637571"/>
          <c:h val="0.93595876003480849"/>
        </c:manualLayout>
      </c:layout>
      <c:doughnutChart>
        <c:varyColors val="1"/>
        <c:ser>
          <c:idx val="0"/>
          <c:order val="0"/>
          <c:tx>
            <c:strRef>
              <c:f>'Sheet Design'!$H$8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3AFD-4B85-B45A-794951797DE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6-3AFD-4B85-B45A-794951797DE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AFD-4B85-B45A-794951797DE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3-3AFD-4B85-B45A-794951797DE7}"/>
              </c:ext>
            </c:extLst>
          </c:dPt>
          <c:dPt>
            <c:idx val="4"/>
            <c:bubble3D val="0"/>
            <c:spPr>
              <a:solidFill>
                <a:schemeClr val="accent5">
                  <a:lumMod val="20000"/>
                  <a:lumOff val="80000"/>
                </a:schemeClr>
              </a:solidFill>
              <a:ln w="19050">
                <a:solidFill>
                  <a:schemeClr val="lt1"/>
                </a:solidFill>
              </a:ln>
              <a:effectLst>
                <a:outerShdw blurRad="50800" dist="38100" dir="5400000" algn="ctr" rotWithShape="0">
                  <a:srgbClr val="000000">
                    <a:alpha val="43137"/>
                  </a:srgbClr>
                </a:outerShdw>
              </a:effectLst>
            </c:spPr>
            <c:extLst>
              <c:ext xmlns:c16="http://schemas.microsoft.com/office/drawing/2014/chart" uri="{C3380CC4-5D6E-409C-BE32-E72D297353CC}">
                <c16:uniqueId val="{00000004-3AFD-4B85-B45A-794951797DE7}"/>
              </c:ext>
            </c:extLst>
          </c:dPt>
          <c:dLbls>
            <c:dLbl>
              <c:idx val="0"/>
              <c:layout>
                <c:manualLayout>
                  <c:x val="-6.2028043513405143E-2"/>
                  <c:y val="-4.218246073211475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3AFD-4B85-B45A-794951797DE7}"/>
                </c:ext>
              </c:extLst>
            </c:dLbl>
            <c:dLbl>
              <c:idx val="1"/>
              <c:delete val="1"/>
              <c:extLst>
                <c:ext xmlns:c15="http://schemas.microsoft.com/office/drawing/2012/chart" uri="{CE6537A1-D6FC-4f65-9D91-7224C49458BB}"/>
                <c:ext xmlns:c16="http://schemas.microsoft.com/office/drawing/2014/chart" uri="{C3380CC4-5D6E-409C-BE32-E72D297353CC}">
                  <c16:uniqueId val="{00000006-3AFD-4B85-B45A-794951797DE7}"/>
                </c:ext>
              </c:extLst>
            </c:dLbl>
            <c:dLbl>
              <c:idx val="2"/>
              <c:delete val="1"/>
              <c:extLst>
                <c:ext xmlns:c15="http://schemas.microsoft.com/office/drawing/2012/chart" uri="{CE6537A1-D6FC-4f65-9D91-7224C49458BB}"/>
                <c:ext xmlns:c16="http://schemas.microsoft.com/office/drawing/2014/chart" uri="{C3380CC4-5D6E-409C-BE32-E72D297353CC}">
                  <c16:uniqueId val="{00000005-3AFD-4B85-B45A-794951797DE7}"/>
                </c:ext>
              </c:extLst>
            </c:dLbl>
            <c:dLbl>
              <c:idx val="3"/>
              <c:delete val="1"/>
              <c:extLst>
                <c:ext xmlns:c15="http://schemas.microsoft.com/office/drawing/2012/chart" uri="{CE6537A1-D6FC-4f65-9D91-7224C49458BB}"/>
                <c:ext xmlns:c16="http://schemas.microsoft.com/office/drawing/2014/chart" uri="{C3380CC4-5D6E-409C-BE32-E72D297353CC}">
                  <c16:uniqueId val="{00000003-3AFD-4B85-B45A-794951797DE7}"/>
                </c:ext>
              </c:extLst>
            </c:dLbl>
            <c:dLbl>
              <c:idx val="4"/>
              <c:layout>
                <c:manualLayout>
                  <c:x val="2.4811217405362056E-2"/>
                  <c:y val="-9.4910536647258403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3AFD-4B85-B45A-794951797DE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 Design'!$G$9:$G$14</c:f>
              <c:strCache>
                <c:ptCount val="5"/>
                <c:pt idx="0">
                  <c:v>MORTGAGE</c:v>
                </c:pt>
                <c:pt idx="1">
                  <c:v>NONE</c:v>
                </c:pt>
                <c:pt idx="2">
                  <c:v>OTHER</c:v>
                </c:pt>
                <c:pt idx="3">
                  <c:v>OWN</c:v>
                </c:pt>
                <c:pt idx="4">
                  <c:v>RENT</c:v>
                </c:pt>
              </c:strCache>
            </c:strRef>
          </c:cat>
          <c:val>
            <c:numRef>
              <c:f>'Sheet Design'!$H$9:$H$14</c:f>
              <c:numCache>
                <c:formatCode>\$0.0,,"M"</c:formatCode>
                <c:ptCount val="5"/>
                <c:pt idx="0">
                  <c:v>219329150</c:v>
                </c:pt>
                <c:pt idx="1">
                  <c:v>16800</c:v>
                </c:pt>
                <c:pt idx="2">
                  <c:v>1044975</c:v>
                </c:pt>
                <c:pt idx="3">
                  <c:v>29597675</c:v>
                </c:pt>
                <c:pt idx="4">
                  <c:v>185768475</c:v>
                </c:pt>
              </c:numCache>
            </c:numRef>
          </c:val>
          <c:extLst>
            <c:ext xmlns:c16="http://schemas.microsoft.com/office/drawing/2014/chart" uri="{C3380CC4-5D6E-409C-BE32-E72D297353CC}">
              <c16:uniqueId val="{00000000-3AFD-4B85-B45A-794951797DE7}"/>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Design!PivotTable5</c:name>
    <c:fmtId val="5"/>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Top 5 States by Disbursed Loans</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 Design'!$C$39</c:f>
              <c:strCache>
                <c:ptCount val="1"/>
                <c:pt idx="0">
                  <c:v>Total</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 Design'!$B$40:$B$44</c:f>
              <c:strCache>
                <c:ptCount val="5"/>
                <c:pt idx="0">
                  <c:v>CA</c:v>
                </c:pt>
                <c:pt idx="1">
                  <c:v>NY</c:v>
                </c:pt>
                <c:pt idx="2">
                  <c:v>FL</c:v>
                </c:pt>
                <c:pt idx="3">
                  <c:v>TX</c:v>
                </c:pt>
                <c:pt idx="4">
                  <c:v>NJ</c:v>
                </c:pt>
              </c:strCache>
            </c:strRef>
          </c:cat>
          <c:val>
            <c:numRef>
              <c:f>'Sheet Design'!$C$40:$C$44</c:f>
              <c:numCache>
                <c:formatCode>0</c:formatCode>
                <c:ptCount val="5"/>
                <c:pt idx="0">
                  <c:v>6894</c:v>
                </c:pt>
                <c:pt idx="1">
                  <c:v>3701</c:v>
                </c:pt>
                <c:pt idx="2">
                  <c:v>2773</c:v>
                </c:pt>
                <c:pt idx="3">
                  <c:v>2664</c:v>
                </c:pt>
                <c:pt idx="4">
                  <c:v>1822</c:v>
                </c:pt>
              </c:numCache>
            </c:numRef>
          </c:val>
          <c:extLst>
            <c:ext xmlns:c16="http://schemas.microsoft.com/office/drawing/2014/chart" uri="{C3380CC4-5D6E-409C-BE32-E72D297353CC}">
              <c16:uniqueId val="{00000003-2C16-48A2-A820-EB0803F2FCC7}"/>
            </c:ext>
          </c:extLst>
        </c:ser>
        <c:dLbls>
          <c:dLblPos val="outEnd"/>
          <c:showLegendKey val="0"/>
          <c:showVal val="1"/>
          <c:showCatName val="0"/>
          <c:showSerName val="0"/>
          <c:showPercent val="0"/>
          <c:showBubbleSize val="0"/>
        </c:dLbls>
        <c:gapWidth val="444"/>
        <c:overlap val="-90"/>
        <c:axId val="890047792"/>
        <c:axId val="77174976"/>
      </c:barChart>
      <c:catAx>
        <c:axId val="8900477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77174976"/>
        <c:crosses val="autoZero"/>
        <c:auto val="1"/>
        <c:lblAlgn val="ctr"/>
        <c:lblOffset val="100"/>
        <c:noMultiLvlLbl val="0"/>
      </c:catAx>
      <c:valAx>
        <c:axId val="77174976"/>
        <c:scaling>
          <c:orientation val="minMax"/>
        </c:scaling>
        <c:delete val="1"/>
        <c:axPos val="l"/>
        <c:numFmt formatCode="0" sourceLinked="1"/>
        <c:majorTickMark val="none"/>
        <c:minorTickMark val="none"/>
        <c:tickLblPos val="nextTo"/>
        <c:crossAx val="890047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Design!PivotTable2</c:name>
    <c:fmtId val="11"/>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lumMod val="75000"/>
            </a:schemeClr>
          </a:solidFill>
          <a:ln w="19050">
            <a:solidFill>
              <a:schemeClr val="lt1"/>
            </a:solidFill>
          </a:ln>
          <a:effectLst/>
        </c:spPr>
        <c:dLbl>
          <c:idx val="0"/>
          <c:layout>
            <c:manualLayout>
              <c:x val="-6.2028043513405143E-2"/>
              <c:y val="-4.21824607321147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5">
              <a:lumMod val="20000"/>
              <a:lumOff val="80000"/>
            </a:schemeClr>
          </a:solidFill>
          <a:ln w="19050">
            <a:solidFill>
              <a:schemeClr val="lt1"/>
            </a:solidFill>
          </a:ln>
          <a:effectLst>
            <a:outerShdw blurRad="50800" dist="38100" dir="5400000" algn="ctr" rotWithShape="0">
              <a:srgbClr val="000000">
                <a:alpha val="43137"/>
              </a:srgbClr>
            </a:outerShdw>
          </a:effectLst>
        </c:spPr>
        <c:dLbl>
          <c:idx val="0"/>
          <c:layout>
            <c:manualLayout>
              <c:x val="2.4811217405362056E-2"/>
              <c:y val="-9.49105366472584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4">
              <a:lumMod val="75000"/>
            </a:schemeClr>
          </a:solidFill>
          <a:ln w="19050">
            <a:solidFill>
              <a:schemeClr val="lt1"/>
            </a:solidFill>
          </a:ln>
          <a:effectLst/>
        </c:spPr>
        <c:dLbl>
          <c:idx val="0"/>
          <c:layout>
            <c:manualLayout>
              <c:x val="6.5129445689075402E-2"/>
              <c:y val="3.690965314060045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3"/>
          </a:solidFill>
          <a:ln w="19050">
            <a:solidFill>
              <a:schemeClr val="lt1"/>
            </a:solidFill>
          </a:ln>
          <a:effectLst/>
        </c:spPr>
        <c:dLbl>
          <c:idx val="0"/>
          <c:layout>
            <c:manualLayout>
              <c:x val="5.8926641337734884E-2"/>
              <c:y val="8.436492146422960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2">
              <a:lumMod val="75000"/>
            </a:schemeClr>
          </a:solidFill>
          <a:ln w="19050">
            <a:solidFill>
              <a:schemeClr val="lt1"/>
            </a:solidFill>
          </a:ln>
          <a:effectLst/>
        </c:spPr>
        <c:dLbl>
          <c:idx val="0"/>
          <c:layout>
            <c:manualLayout>
              <c:x val="-6.2028043513405143E-2"/>
              <c:y val="-4.21824607321147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5">
              <a:lumMod val="20000"/>
              <a:lumOff val="80000"/>
            </a:schemeClr>
          </a:solidFill>
          <a:ln w="19050">
            <a:solidFill>
              <a:schemeClr val="lt1"/>
            </a:solidFill>
          </a:ln>
          <a:effectLst>
            <a:outerShdw blurRad="50800" dist="38100" dir="5400000" algn="ctr" rotWithShape="0">
              <a:srgbClr val="000000">
                <a:alpha val="43137"/>
              </a:srgbClr>
            </a:outerShdw>
          </a:effectLst>
        </c:spPr>
        <c:dLbl>
          <c:idx val="0"/>
          <c:layout>
            <c:manualLayout>
              <c:x val="2.4811217405362056E-2"/>
              <c:y val="-9.49105366472584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4">
              <a:lumMod val="75000"/>
            </a:schemeClr>
          </a:solidFill>
          <a:ln w="19050">
            <a:solidFill>
              <a:schemeClr val="lt1"/>
            </a:solidFill>
          </a:ln>
          <a:effectLst/>
        </c:spPr>
        <c:dLbl>
          <c:idx val="0"/>
          <c:layout>
            <c:manualLayout>
              <c:x val="6.5129445689075402E-2"/>
              <c:y val="3.690965314060045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2">
              <a:lumMod val="75000"/>
            </a:schemeClr>
          </a:solidFill>
          <a:ln w="19050">
            <a:solidFill>
              <a:schemeClr val="lt1"/>
            </a:solidFill>
          </a:ln>
          <a:effectLst/>
        </c:spPr>
        <c:dLbl>
          <c:idx val="0"/>
          <c:layout>
            <c:manualLayout>
              <c:x val="-6.2028043513405143E-2"/>
              <c:y val="-4.21824607321147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5">
              <a:lumMod val="20000"/>
              <a:lumOff val="80000"/>
            </a:schemeClr>
          </a:solidFill>
          <a:ln w="19050">
            <a:solidFill>
              <a:schemeClr val="lt1"/>
            </a:solidFill>
          </a:ln>
          <a:effectLst>
            <a:outerShdw blurRad="50800" dist="38100" dir="5400000" algn="ctr" rotWithShape="0">
              <a:srgbClr val="000000">
                <a:alpha val="43137"/>
              </a:srgbClr>
            </a:outerShdw>
          </a:effectLst>
        </c:spPr>
        <c:dLbl>
          <c:idx val="0"/>
          <c:layout>
            <c:manualLayout>
              <c:x val="2.4811217405362056E-2"/>
              <c:y val="-9.49105366472584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4">
              <a:lumMod val="75000"/>
            </a:schemeClr>
          </a:solidFill>
          <a:ln w="19050">
            <a:solidFill>
              <a:schemeClr val="lt1"/>
            </a:solidFill>
          </a:ln>
          <a:effectLst/>
        </c:spPr>
        <c:dLbl>
          <c:idx val="0"/>
          <c:layout>
            <c:manualLayout>
              <c:x val="6.5129445689075402E-2"/>
              <c:y val="3.690965314060045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5483315119029034"/>
          <c:y val="3.659499426582373E-2"/>
          <c:w val="0.75127818157637571"/>
          <c:h val="0.93595876003480849"/>
        </c:manualLayout>
      </c:layout>
      <c:doughnutChart>
        <c:varyColors val="1"/>
        <c:ser>
          <c:idx val="0"/>
          <c:order val="0"/>
          <c:tx>
            <c:strRef>
              <c:f>'Sheet Design'!$H$8</c:f>
              <c:strCache>
                <c:ptCount val="1"/>
                <c:pt idx="0">
                  <c:v>Total</c:v>
                </c:pt>
              </c:strCache>
            </c:strRef>
          </c:tx>
          <c:dPt>
            <c:idx val="0"/>
            <c:bubble3D val="0"/>
            <c:spPr>
              <a:solidFill>
                <a:schemeClr val="accent2">
                  <a:lumMod val="75000"/>
                </a:schemeClr>
              </a:solidFill>
              <a:ln w="19050">
                <a:solidFill>
                  <a:schemeClr val="lt1"/>
                </a:solidFill>
              </a:ln>
              <a:effectLst/>
            </c:spPr>
            <c:extLst>
              <c:ext xmlns:c16="http://schemas.microsoft.com/office/drawing/2014/chart" uri="{C3380CC4-5D6E-409C-BE32-E72D297353CC}">
                <c16:uniqueId val="{00000001-E1A4-4C23-82A2-3BEE7E64737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1A4-4C23-82A2-3BEE7E64737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1A4-4C23-82A2-3BEE7E647370}"/>
              </c:ext>
            </c:extLst>
          </c:dPt>
          <c:dPt>
            <c:idx val="3"/>
            <c:bubble3D val="0"/>
            <c:spPr>
              <a:solidFill>
                <a:schemeClr val="accent5">
                  <a:lumMod val="20000"/>
                  <a:lumOff val="80000"/>
                </a:schemeClr>
              </a:solidFill>
              <a:ln w="19050">
                <a:solidFill>
                  <a:schemeClr val="lt1"/>
                </a:solidFill>
              </a:ln>
              <a:effectLst>
                <a:outerShdw blurRad="50800" dist="38100" dir="5400000" algn="ctr" rotWithShape="0">
                  <a:srgbClr val="000000">
                    <a:alpha val="43137"/>
                  </a:srgbClr>
                </a:outerShdw>
              </a:effectLst>
            </c:spPr>
            <c:extLst>
              <c:ext xmlns:c16="http://schemas.microsoft.com/office/drawing/2014/chart" uri="{C3380CC4-5D6E-409C-BE32-E72D297353CC}">
                <c16:uniqueId val="{00000007-E1A4-4C23-82A2-3BEE7E647370}"/>
              </c:ext>
            </c:extLst>
          </c:dPt>
          <c:dPt>
            <c:idx val="4"/>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9-E1A4-4C23-82A2-3BEE7E647370}"/>
              </c:ext>
            </c:extLst>
          </c:dPt>
          <c:dLbls>
            <c:dLbl>
              <c:idx val="0"/>
              <c:layout>
                <c:manualLayout>
                  <c:x val="-6.2028043513405143E-2"/>
                  <c:y val="-4.218246073211475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E1A4-4C23-82A2-3BEE7E647370}"/>
                </c:ext>
              </c:extLst>
            </c:dLbl>
            <c:dLbl>
              <c:idx val="1"/>
              <c:delete val="1"/>
              <c:extLst>
                <c:ext xmlns:c15="http://schemas.microsoft.com/office/drawing/2012/chart" uri="{CE6537A1-D6FC-4f65-9D91-7224C49458BB}"/>
                <c:ext xmlns:c16="http://schemas.microsoft.com/office/drawing/2014/chart" uri="{C3380CC4-5D6E-409C-BE32-E72D297353CC}">
                  <c16:uniqueId val="{00000003-E1A4-4C23-82A2-3BEE7E647370}"/>
                </c:ext>
              </c:extLst>
            </c:dLbl>
            <c:dLbl>
              <c:idx val="2"/>
              <c:delete val="1"/>
              <c:extLst>
                <c:ext xmlns:c15="http://schemas.microsoft.com/office/drawing/2012/chart" uri="{CE6537A1-D6FC-4f65-9D91-7224C49458BB}"/>
                <c:ext xmlns:c16="http://schemas.microsoft.com/office/drawing/2014/chart" uri="{C3380CC4-5D6E-409C-BE32-E72D297353CC}">
                  <c16:uniqueId val="{00000005-E1A4-4C23-82A2-3BEE7E647370}"/>
                </c:ext>
              </c:extLst>
            </c:dLbl>
            <c:dLbl>
              <c:idx val="3"/>
              <c:layout>
                <c:manualLayout>
                  <c:x val="2.4811217405362056E-2"/>
                  <c:y val="-9.4910536647258403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E1A4-4C23-82A2-3BEE7E647370}"/>
                </c:ext>
              </c:extLst>
            </c:dLbl>
            <c:dLbl>
              <c:idx val="4"/>
              <c:layout>
                <c:manualLayout>
                  <c:x val="6.5129445689075402E-2"/>
                  <c:y val="3.6909653140600455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E1A4-4C23-82A2-3BEE7E64737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 Design'!$G$9:$G$14</c:f>
              <c:strCache>
                <c:ptCount val="5"/>
                <c:pt idx="0">
                  <c:v>MORTGAGE</c:v>
                </c:pt>
                <c:pt idx="1">
                  <c:v>NONE</c:v>
                </c:pt>
                <c:pt idx="2">
                  <c:v>OTHER</c:v>
                </c:pt>
                <c:pt idx="3">
                  <c:v>OWN</c:v>
                </c:pt>
                <c:pt idx="4">
                  <c:v>RENT</c:v>
                </c:pt>
              </c:strCache>
            </c:strRef>
          </c:cat>
          <c:val>
            <c:numRef>
              <c:f>'Sheet Design'!$H$9:$H$14</c:f>
              <c:numCache>
                <c:formatCode>\$0.0,,"M"</c:formatCode>
                <c:ptCount val="5"/>
                <c:pt idx="0">
                  <c:v>219329150</c:v>
                </c:pt>
                <c:pt idx="1">
                  <c:v>16800</c:v>
                </c:pt>
                <c:pt idx="2">
                  <c:v>1044975</c:v>
                </c:pt>
                <c:pt idx="3">
                  <c:v>29597675</c:v>
                </c:pt>
                <c:pt idx="4">
                  <c:v>185768475</c:v>
                </c:pt>
              </c:numCache>
            </c:numRef>
          </c:val>
          <c:extLst>
            <c:ext xmlns:c16="http://schemas.microsoft.com/office/drawing/2014/chart" uri="{C3380CC4-5D6E-409C-BE32-E72D297353CC}">
              <c16:uniqueId val="{0000000A-E1A4-4C23-82A2-3BEE7E647370}"/>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Design!PivotTable6</c:name>
    <c:fmtId val="1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pivotFmt>
    </c:pivotFmts>
    <c:plotArea>
      <c:layout/>
      <c:barChart>
        <c:barDir val="bar"/>
        <c:grouping val="clustered"/>
        <c:varyColors val="0"/>
        <c:ser>
          <c:idx val="0"/>
          <c:order val="0"/>
          <c:tx>
            <c:strRef>
              <c:f>'Sheet Design'!$J$40:$J$41</c:f>
              <c:strCache>
                <c:ptCount val="1"/>
                <c:pt idx="0">
                  <c:v>Charged Off</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Design'!$I$42:$I$48</c:f>
              <c:strCache>
                <c:ptCount val="7"/>
                <c:pt idx="0">
                  <c:v>G</c:v>
                </c:pt>
                <c:pt idx="1">
                  <c:v>F</c:v>
                </c:pt>
                <c:pt idx="2">
                  <c:v>E</c:v>
                </c:pt>
                <c:pt idx="3">
                  <c:v>D</c:v>
                </c:pt>
                <c:pt idx="4">
                  <c:v>C</c:v>
                </c:pt>
                <c:pt idx="5">
                  <c:v>B</c:v>
                </c:pt>
                <c:pt idx="6">
                  <c:v>A</c:v>
                </c:pt>
              </c:strCache>
            </c:strRef>
          </c:cat>
          <c:val>
            <c:numRef>
              <c:f>'Sheet Design'!$J$42:$J$48</c:f>
              <c:numCache>
                <c:formatCode>0</c:formatCode>
                <c:ptCount val="7"/>
                <c:pt idx="0">
                  <c:v>98</c:v>
                </c:pt>
                <c:pt idx="1">
                  <c:v>311</c:v>
                </c:pt>
                <c:pt idx="2">
                  <c:v>691</c:v>
                </c:pt>
                <c:pt idx="3">
                  <c:v>1072</c:v>
                </c:pt>
                <c:pt idx="4">
                  <c:v>1266</c:v>
                </c:pt>
                <c:pt idx="5">
                  <c:v>1343</c:v>
                </c:pt>
                <c:pt idx="6">
                  <c:v>552</c:v>
                </c:pt>
              </c:numCache>
            </c:numRef>
          </c:val>
          <c:extLst>
            <c:ext xmlns:c16="http://schemas.microsoft.com/office/drawing/2014/chart" uri="{C3380CC4-5D6E-409C-BE32-E72D297353CC}">
              <c16:uniqueId val="{00000000-91E3-46DC-A9C7-7967EAF26941}"/>
            </c:ext>
          </c:extLst>
        </c:ser>
        <c:ser>
          <c:idx val="1"/>
          <c:order val="1"/>
          <c:tx>
            <c:strRef>
              <c:f>'Sheet Design'!$K$40:$K$41</c:f>
              <c:strCache>
                <c:ptCount val="1"/>
                <c:pt idx="0">
                  <c:v>Current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Design'!$I$42:$I$48</c:f>
              <c:strCache>
                <c:ptCount val="7"/>
                <c:pt idx="0">
                  <c:v>G</c:v>
                </c:pt>
                <c:pt idx="1">
                  <c:v>F</c:v>
                </c:pt>
                <c:pt idx="2">
                  <c:v>E</c:v>
                </c:pt>
                <c:pt idx="3">
                  <c:v>D</c:v>
                </c:pt>
                <c:pt idx="4">
                  <c:v>C</c:v>
                </c:pt>
                <c:pt idx="5">
                  <c:v>B</c:v>
                </c:pt>
                <c:pt idx="6">
                  <c:v>A</c:v>
                </c:pt>
              </c:strCache>
            </c:strRef>
          </c:cat>
          <c:val>
            <c:numRef>
              <c:f>'Sheet Design'!$K$42:$K$48</c:f>
              <c:numCache>
                <c:formatCode>0</c:formatCode>
                <c:ptCount val="7"/>
                <c:pt idx="0">
                  <c:v>17</c:v>
                </c:pt>
                <c:pt idx="1">
                  <c:v>71</c:v>
                </c:pt>
                <c:pt idx="2">
                  <c:v>175</c:v>
                </c:pt>
                <c:pt idx="3">
                  <c:v>216</c:v>
                </c:pt>
                <c:pt idx="4">
                  <c:v>257</c:v>
                </c:pt>
                <c:pt idx="5">
                  <c:v>327</c:v>
                </c:pt>
                <c:pt idx="6">
                  <c:v>35</c:v>
                </c:pt>
              </c:numCache>
            </c:numRef>
          </c:val>
          <c:extLst>
            <c:ext xmlns:c16="http://schemas.microsoft.com/office/drawing/2014/chart" uri="{C3380CC4-5D6E-409C-BE32-E72D297353CC}">
              <c16:uniqueId val="{00000004-91E3-46DC-A9C7-7967EAF26941}"/>
            </c:ext>
          </c:extLst>
        </c:ser>
        <c:ser>
          <c:idx val="2"/>
          <c:order val="2"/>
          <c:tx>
            <c:strRef>
              <c:f>'Sheet Design'!$L$40:$L$41</c:f>
              <c:strCache>
                <c:ptCount val="1"/>
                <c:pt idx="0">
                  <c:v>Fully Paid</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Design'!$I$42:$I$48</c:f>
              <c:strCache>
                <c:ptCount val="7"/>
                <c:pt idx="0">
                  <c:v>G</c:v>
                </c:pt>
                <c:pt idx="1">
                  <c:v>F</c:v>
                </c:pt>
                <c:pt idx="2">
                  <c:v>E</c:v>
                </c:pt>
                <c:pt idx="3">
                  <c:v>D</c:v>
                </c:pt>
                <c:pt idx="4">
                  <c:v>C</c:v>
                </c:pt>
                <c:pt idx="5">
                  <c:v>B</c:v>
                </c:pt>
                <c:pt idx="6">
                  <c:v>A</c:v>
                </c:pt>
              </c:strCache>
            </c:strRef>
          </c:cat>
          <c:val>
            <c:numRef>
              <c:f>'Sheet Design'!$L$42:$L$48</c:f>
              <c:numCache>
                <c:formatCode>0</c:formatCode>
                <c:ptCount val="7"/>
                <c:pt idx="0">
                  <c:v>198</c:v>
                </c:pt>
                <c:pt idx="1">
                  <c:v>646</c:v>
                </c:pt>
                <c:pt idx="2">
                  <c:v>1920</c:v>
                </c:pt>
                <c:pt idx="3">
                  <c:v>3894</c:v>
                </c:pt>
                <c:pt idx="4">
                  <c:v>6381</c:v>
                </c:pt>
                <c:pt idx="5">
                  <c:v>10004</c:v>
                </c:pt>
                <c:pt idx="6">
                  <c:v>9102</c:v>
                </c:pt>
              </c:numCache>
            </c:numRef>
          </c:val>
          <c:extLst>
            <c:ext xmlns:c16="http://schemas.microsoft.com/office/drawing/2014/chart" uri="{C3380CC4-5D6E-409C-BE32-E72D297353CC}">
              <c16:uniqueId val="{00000000-345E-4233-92F5-4E2FE7580CDB}"/>
            </c:ext>
          </c:extLst>
        </c:ser>
        <c:dLbls>
          <c:dLblPos val="outEnd"/>
          <c:showLegendKey val="0"/>
          <c:showVal val="1"/>
          <c:showCatName val="0"/>
          <c:showSerName val="0"/>
          <c:showPercent val="0"/>
          <c:showBubbleSize val="0"/>
        </c:dLbls>
        <c:gapWidth val="182"/>
        <c:axId val="604810400"/>
        <c:axId val="604811360"/>
      </c:barChart>
      <c:catAx>
        <c:axId val="60481040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4811360"/>
        <c:crosses val="autoZero"/>
        <c:auto val="1"/>
        <c:lblAlgn val="ctr"/>
        <c:lblOffset val="100"/>
        <c:noMultiLvlLbl val="0"/>
      </c:catAx>
      <c:valAx>
        <c:axId val="604811360"/>
        <c:scaling>
          <c:orientation val="minMax"/>
        </c:scaling>
        <c:delete val="1"/>
        <c:axPos val="b"/>
        <c:numFmt formatCode="0" sourceLinked="1"/>
        <c:majorTickMark val="none"/>
        <c:minorTickMark val="none"/>
        <c:tickLblPos val="nextTo"/>
        <c:crossAx val="6048104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Design!PivotTable7</c:name>
    <c:fmtId val="1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 Design'!$J$55</c:f>
              <c:strCache>
                <c:ptCount val="1"/>
                <c:pt idx="0">
                  <c:v>Avg DTI</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Design'!$I$56:$I$62</c:f>
              <c:strCache>
                <c:ptCount val="7"/>
                <c:pt idx="0">
                  <c:v>A</c:v>
                </c:pt>
                <c:pt idx="1">
                  <c:v>B</c:v>
                </c:pt>
                <c:pt idx="2">
                  <c:v>C</c:v>
                </c:pt>
                <c:pt idx="3">
                  <c:v>D</c:v>
                </c:pt>
                <c:pt idx="4">
                  <c:v>E</c:v>
                </c:pt>
                <c:pt idx="5">
                  <c:v>F</c:v>
                </c:pt>
                <c:pt idx="6">
                  <c:v>G</c:v>
                </c:pt>
              </c:strCache>
            </c:strRef>
          </c:cat>
          <c:val>
            <c:numRef>
              <c:f>'Sheet Design'!$J$56:$J$62</c:f>
              <c:numCache>
                <c:formatCode>0.00</c:formatCode>
                <c:ptCount val="7"/>
                <c:pt idx="0">
                  <c:v>0.12038256786046032</c:v>
                </c:pt>
                <c:pt idx="1">
                  <c:v>0.13432090971389413</c:v>
                </c:pt>
                <c:pt idx="2">
                  <c:v>0.1391512398785425</c:v>
                </c:pt>
                <c:pt idx="3">
                  <c:v>0.139807583944423</c:v>
                </c:pt>
                <c:pt idx="4">
                  <c:v>0.14095294328786792</c:v>
                </c:pt>
                <c:pt idx="5">
                  <c:v>0.14173774319066149</c:v>
                </c:pt>
                <c:pt idx="6">
                  <c:v>0.14059424920127794</c:v>
                </c:pt>
              </c:numCache>
            </c:numRef>
          </c:val>
          <c:extLst>
            <c:ext xmlns:c16="http://schemas.microsoft.com/office/drawing/2014/chart" uri="{C3380CC4-5D6E-409C-BE32-E72D297353CC}">
              <c16:uniqueId val="{00000000-FB15-4B26-9A33-03669F72D568}"/>
            </c:ext>
          </c:extLst>
        </c:ser>
        <c:ser>
          <c:idx val="1"/>
          <c:order val="1"/>
          <c:tx>
            <c:strRef>
              <c:f>'Sheet Design'!$K$55</c:f>
              <c:strCache>
                <c:ptCount val="1"/>
                <c:pt idx="0">
                  <c:v>Avg Interest Rate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Design'!$I$56:$I$62</c:f>
              <c:strCache>
                <c:ptCount val="7"/>
                <c:pt idx="0">
                  <c:v>A</c:v>
                </c:pt>
                <c:pt idx="1">
                  <c:v>B</c:v>
                </c:pt>
                <c:pt idx="2">
                  <c:v>C</c:v>
                </c:pt>
                <c:pt idx="3">
                  <c:v>D</c:v>
                </c:pt>
                <c:pt idx="4">
                  <c:v>E</c:v>
                </c:pt>
                <c:pt idx="5">
                  <c:v>F</c:v>
                </c:pt>
                <c:pt idx="6">
                  <c:v>G</c:v>
                </c:pt>
              </c:strCache>
            </c:strRef>
          </c:cat>
          <c:val>
            <c:numRef>
              <c:f>'Sheet Design'!$K$56:$K$62</c:f>
              <c:numCache>
                <c:formatCode>0.00</c:formatCode>
                <c:ptCount val="7"/>
                <c:pt idx="0">
                  <c:v>7.3519713076685186E-2</c:v>
                </c:pt>
                <c:pt idx="1">
                  <c:v>0.11029087716292704</c:v>
                </c:pt>
                <c:pt idx="2">
                  <c:v>0.13546921811740983</c:v>
                </c:pt>
                <c:pt idx="3">
                  <c:v>0.15710540331918008</c:v>
                </c:pt>
                <c:pt idx="4">
                  <c:v>0.17705229720028576</c:v>
                </c:pt>
                <c:pt idx="5">
                  <c:v>0.19744007782101203</c:v>
                </c:pt>
                <c:pt idx="6">
                  <c:v>0.21400638977635766</c:v>
                </c:pt>
              </c:numCache>
            </c:numRef>
          </c:val>
          <c:extLst>
            <c:ext xmlns:c16="http://schemas.microsoft.com/office/drawing/2014/chart" uri="{C3380CC4-5D6E-409C-BE32-E72D297353CC}">
              <c16:uniqueId val="{00000002-FB15-4B26-9A33-03669F72D568}"/>
            </c:ext>
          </c:extLst>
        </c:ser>
        <c:dLbls>
          <c:dLblPos val="outEnd"/>
          <c:showLegendKey val="0"/>
          <c:showVal val="1"/>
          <c:showCatName val="0"/>
          <c:showSerName val="0"/>
          <c:showPercent val="0"/>
          <c:showBubbleSize val="0"/>
        </c:dLbls>
        <c:gapWidth val="219"/>
        <c:overlap val="-27"/>
        <c:axId val="65043887"/>
        <c:axId val="459617759"/>
      </c:barChart>
      <c:catAx>
        <c:axId val="65043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9617759"/>
        <c:crosses val="autoZero"/>
        <c:auto val="1"/>
        <c:lblAlgn val="ctr"/>
        <c:lblOffset val="100"/>
        <c:noMultiLvlLbl val="0"/>
      </c:catAx>
      <c:valAx>
        <c:axId val="459617759"/>
        <c:scaling>
          <c:orientation val="minMax"/>
        </c:scaling>
        <c:delete val="1"/>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6504388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Design!PivotTable8</c:name>
    <c:fmtId val="1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'Sheet Design'!$C$56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894-447D-A583-E40714B8E82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894-447D-A583-E40714B8E82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 Design'!$B$57:$B$58</c:f>
              <c:strCache>
                <c:ptCount val="2"/>
                <c:pt idx="0">
                  <c:v>Experienced</c:v>
                </c:pt>
                <c:pt idx="1">
                  <c:v>New/Thin File</c:v>
                </c:pt>
              </c:strCache>
            </c:strRef>
          </c:cat>
          <c:val>
            <c:numRef>
              <c:f>'Sheet Design'!$C$57:$C$58</c:f>
              <c:numCache>
                <c:formatCode>0</c:formatCode>
                <c:ptCount val="2"/>
                <c:pt idx="0">
                  <c:v>33998</c:v>
                </c:pt>
                <c:pt idx="1">
                  <c:v>4578</c:v>
                </c:pt>
              </c:numCache>
            </c:numRef>
          </c:val>
          <c:extLst>
            <c:ext xmlns:c16="http://schemas.microsoft.com/office/drawing/2014/chart" uri="{C3380CC4-5D6E-409C-BE32-E72D297353CC}">
              <c16:uniqueId val="{00000000-0F05-4F5D-A9C8-DA799E5ACFB7}"/>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Design!PivotTable10</c:name>
    <c:fmtId val="1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 Design'!$C$70:$C$71</c:f>
              <c:strCache>
                <c:ptCount val="1"/>
                <c:pt idx="0">
                  <c:v>Charged Off</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Design'!$B$72:$B$73</c:f>
              <c:strCache>
                <c:ptCount val="2"/>
                <c:pt idx="0">
                  <c:v>36</c:v>
                </c:pt>
                <c:pt idx="1">
                  <c:v>60</c:v>
                </c:pt>
              </c:strCache>
            </c:strRef>
          </c:cat>
          <c:val>
            <c:numRef>
              <c:f>'Sheet Design'!$C$72:$C$73</c:f>
              <c:numCache>
                <c:formatCode>0</c:formatCode>
                <c:ptCount val="2"/>
                <c:pt idx="0">
                  <c:v>3023</c:v>
                </c:pt>
                <c:pt idx="1">
                  <c:v>2310</c:v>
                </c:pt>
              </c:numCache>
            </c:numRef>
          </c:val>
          <c:extLst>
            <c:ext xmlns:c16="http://schemas.microsoft.com/office/drawing/2014/chart" uri="{C3380CC4-5D6E-409C-BE32-E72D297353CC}">
              <c16:uniqueId val="{00000000-E529-4400-A2EB-589D6C0EB898}"/>
            </c:ext>
          </c:extLst>
        </c:ser>
        <c:ser>
          <c:idx val="1"/>
          <c:order val="1"/>
          <c:tx>
            <c:strRef>
              <c:f>'Sheet Design'!$D$70:$D$71</c:f>
              <c:strCache>
                <c:ptCount val="1"/>
                <c:pt idx="0">
                  <c:v>Current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Design'!$B$72:$B$73</c:f>
              <c:strCache>
                <c:ptCount val="2"/>
                <c:pt idx="0">
                  <c:v>36</c:v>
                </c:pt>
                <c:pt idx="1">
                  <c:v>60</c:v>
                </c:pt>
              </c:strCache>
            </c:strRef>
          </c:cat>
          <c:val>
            <c:numRef>
              <c:f>'Sheet Design'!$D$72:$D$73</c:f>
              <c:numCache>
                <c:formatCode>0</c:formatCode>
                <c:ptCount val="2"/>
                <c:pt idx="1">
                  <c:v>1098</c:v>
                </c:pt>
              </c:numCache>
            </c:numRef>
          </c:val>
          <c:extLst>
            <c:ext xmlns:c16="http://schemas.microsoft.com/office/drawing/2014/chart" uri="{C3380CC4-5D6E-409C-BE32-E72D297353CC}">
              <c16:uniqueId val="{00000006-E529-4400-A2EB-589D6C0EB898}"/>
            </c:ext>
          </c:extLst>
        </c:ser>
        <c:ser>
          <c:idx val="2"/>
          <c:order val="2"/>
          <c:tx>
            <c:strRef>
              <c:f>'Sheet Design'!$E$70:$E$71</c:f>
              <c:strCache>
                <c:ptCount val="1"/>
                <c:pt idx="0">
                  <c:v>Fully Paid</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Design'!$B$72:$B$73</c:f>
              <c:strCache>
                <c:ptCount val="2"/>
                <c:pt idx="0">
                  <c:v>36</c:v>
                </c:pt>
                <c:pt idx="1">
                  <c:v>60</c:v>
                </c:pt>
              </c:strCache>
            </c:strRef>
          </c:cat>
          <c:val>
            <c:numRef>
              <c:f>'Sheet Design'!$E$72:$E$73</c:f>
              <c:numCache>
                <c:formatCode>0</c:formatCode>
                <c:ptCount val="2"/>
                <c:pt idx="0">
                  <c:v>25214</c:v>
                </c:pt>
                <c:pt idx="1">
                  <c:v>6931</c:v>
                </c:pt>
              </c:numCache>
            </c:numRef>
          </c:val>
          <c:extLst>
            <c:ext xmlns:c16="http://schemas.microsoft.com/office/drawing/2014/chart" uri="{C3380CC4-5D6E-409C-BE32-E72D297353CC}">
              <c16:uniqueId val="{00000000-E4A0-40A4-9184-F2CB6C7D7FC2}"/>
            </c:ext>
          </c:extLst>
        </c:ser>
        <c:dLbls>
          <c:dLblPos val="ctr"/>
          <c:showLegendKey val="0"/>
          <c:showVal val="1"/>
          <c:showCatName val="0"/>
          <c:showSerName val="0"/>
          <c:showPercent val="0"/>
          <c:showBubbleSize val="0"/>
        </c:dLbls>
        <c:gapWidth val="150"/>
        <c:overlap val="100"/>
        <c:axId val="213885200"/>
        <c:axId val="213888560"/>
      </c:barChart>
      <c:catAx>
        <c:axId val="21388520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Terms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888560"/>
        <c:crosses val="autoZero"/>
        <c:auto val="1"/>
        <c:lblAlgn val="ctr"/>
        <c:lblOffset val="100"/>
        <c:noMultiLvlLbl val="0"/>
      </c:catAx>
      <c:valAx>
        <c:axId val="213888560"/>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2138852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Design!PivotTable11</c:name>
    <c:fmtId val="20"/>
  </c:pivotSource>
  <c:chart>
    <c:autoTitleDeleted val="0"/>
    <c:pivotFmts>
      <c:pivotFmt>
        <c:idx val="0"/>
        <c:spPr>
          <a:solidFill>
            <a:schemeClr val="accent1"/>
          </a:solidFill>
          <a:ln w="28575" cap="rnd">
            <a:solidFill>
              <a:srgbClr val="7030A0"/>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2">
                <a:lumMod val="40000"/>
                <a:lumOff val="60000"/>
              </a:schemeClr>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002060"/>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 Design'!$H$78:$H$79</c:f>
              <c:strCache>
                <c:ptCount val="1"/>
                <c:pt idx="0">
                  <c:v>Defaulted/Charged Off</c:v>
                </c:pt>
              </c:strCache>
            </c:strRef>
          </c:tx>
          <c:spPr>
            <a:ln w="28575" cap="rnd">
              <a:solidFill>
                <a:srgbClr val="002060"/>
              </a:solidFill>
              <a:round/>
            </a:ln>
            <a:effectLst/>
          </c:spPr>
          <c:marker>
            <c:symbol val="circle"/>
            <c:size val="5"/>
            <c:spPr>
              <a:solidFill>
                <a:schemeClr val="accent1"/>
              </a:solidFill>
              <a:ln w="9525">
                <a:solidFill>
                  <a:schemeClr val="accent1"/>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Design'!$H$80:$H$91</c:f>
              <c:numCache>
                <c:formatCode>0</c:formatCode>
                <c:ptCount val="12"/>
                <c:pt idx="0">
                  <c:v>309</c:v>
                </c:pt>
                <c:pt idx="1">
                  <c:v>264</c:v>
                </c:pt>
                <c:pt idx="2">
                  <c:v>333</c:v>
                </c:pt>
                <c:pt idx="3">
                  <c:v>352</c:v>
                </c:pt>
                <c:pt idx="4">
                  <c:v>439</c:v>
                </c:pt>
                <c:pt idx="5">
                  <c:v>453</c:v>
                </c:pt>
                <c:pt idx="6">
                  <c:v>454</c:v>
                </c:pt>
                <c:pt idx="7">
                  <c:v>452</c:v>
                </c:pt>
                <c:pt idx="8">
                  <c:v>521</c:v>
                </c:pt>
                <c:pt idx="9">
                  <c:v>546</c:v>
                </c:pt>
                <c:pt idx="10">
                  <c:v>561</c:v>
                </c:pt>
                <c:pt idx="11">
                  <c:v>649</c:v>
                </c:pt>
              </c:numCache>
            </c:numRef>
          </c:val>
          <c:smooth val="0"/>
          <c:extLst>
            <c:ext xmlns:c16="http://schemas.microsoft.com/office/drawing/2014/chart" uri="{C3380CC4-5D6E-409C-BE32-E72D297353CC}">
              <c16:uniqueId val="{00000000-0E68-4297-BA37-8FF0B1B3D76D}"/>
            </c:ext>
          </c:extLst>
        </c:ser>
        <c:ser>
          <c:idx val="1"/>
          <c:order val="1"/>
          <c:tx>
            <c:strRef>
              <c:f>'Sheet Design'!$I$78:$I$79</c:f>
              <c:strCache>
                <c:ptCount val="1"/>
                <c:pt idx="0">
                  <c:v>Early Payoff</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Design'!$I$80:$I$91</c:f>
              <c:numCache>
                <c:formatCode>0</c:formatCode>
                <c:ptCount val="12"/>
                <c:pt idx="0">
                  <c:v>1431</c:v>
                </c:pt>
                <c:pt idx="1">
                  <c:v>1447</c:v>
                </c:pt>
                <c:pt idx="2">
                  <c:v>1771</c:v>
                </c:pt>
                <c:pt idx="3">
                  <c:v>1907</c:v>
                </c:pt>
                <c:pt idx="4">
                  <c:v>1921</c:v>
                </c:pt>
                <c:pt idx="5">
                  <c:v>2145</c:v>
                </c:pt>
                <c:pt idx="6">
                  <c:v>2303</c:v>
                </c:pt>
                <c:pt idx="7">
                  <c:v>2354</c:v>
                </c:pt>
                <c:pt idx="8">
                  <c:v>2363</c:v>
                </c:pt>
                <c:pt idx="9">
                  <c:v>2532</c:v>
                </c:pt>
                <c:pt idx="10">
                  <c:v>2684</c:v>
                </c:pt>
                <c:pt idx="11">
                  <c:v>2774</c:v>
                </c:pt>
              </c:numCache>
            </c:numRef>
          </c:val>
          <c:smooth val="0"/>
          <c:extLst>
            <c:ext xmlns:c16="http://schemas.microsoft.com/office/drawing/2014/chart" uri="{C3380CC4-5D6E-409C-BE32-E72D297353CC}">
              <c16:uniqueId val="{0000000D-0E68-4297-BA37-8FF0B1B3D76D}"/>
            </c:ext>
          </c:extLst>
        </c:ser>
        <c:ser>
          <c:idx val="2"/>
          <c:order val="2"/>
          <c:tx>
            <c:strRef>
              <c:f>'Sheet Design'!$J$78:$J$79</c:f>
              <c:strCache>
                <c:ptCount val="1"/>
                <c:pt idx="0">
                  <c:v>In Progress</c:v>
                </c:pt>
              </c:strCache>
            </c:strRef>
          </c:tx>
          <c:spPr>
            <a:ln w="28575" cap="rnd">
              <a:solidFill>
                <a:schemeClr val="accent2">
                  <a:lumMod val="40000"/>
                  <a:lumOff val="60000"/>
                </a:schemeClr>
              </a:solidFill>
              <a:round/>
            </a:ln>
            <a:effectLst/>
          </c:spPr>
          <c:marker>
            <c:symbol val="circle"/>
            <c:size val="5"/>
            <c:spPr>
              <a:solidFill>
                <a:schemeClr val="accent3"/>
              </a:solidFill>
              <a:ln w="9525">
                <a:solidFill>
                  <a:schemeClr val="accent3"/>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Design'!$J$80:$J$91</c:f>
              <c:numCache>
                <c:formatCode>0</c:formatCode>
                <c:ptCount val="12"/>
                <c:pt idx="2">
                  <c:v>1</c:v>
                </c:pt>
                <c:pt idx="3">
                  <c:v>3</c:v>
                </c:pt>
                <c:pt idx="4">
                  <c:v>78</c:v>
                </c:pt>
                <c:pt idx="5">
                  <c:v>96</c:v>
                </c:pt>
                <c:pt idx="6">
                  <c:v>119</c:v>
                </c:pt>
                <c:pt idx="7">
                  <c:v>122</c:v>
                </c:pt>
                <c:pt idx="8">
                  <c:v>148</c:v>
                </c:pt>
                <c:pt idx="9">
                  <c:v>165</c:v>
                </c:pt>
                <c:pt idx="10">
                  <c:v>153</c:v>
                </c:pt>
                <c:pt idx="11">
                  <c:v>213</c:v>
                </c:pt>
              </c:numCache>
            </c:numRef>
          </c:val>
          <c:smooth val="0"/>
          <c:extLst>
            <c:ext xmlns:c16="http://schemas.microsoft.com/office/drawing/2014/chart" uri="{C3380CC4-5D6E-409C-BE32-E72D297353CC}">
              <c16:uniqueId val="{00000000-F785-47B5-890B-DD9D78B21DFF}"/>
            </c:ext>
          </c:extLst>
        </c:ser>
        <c:ser>
          <c:idx val="3"/>
          <c:order val="3"/>
          <c:tx>
            <c:strRef>
              <c:f>'Sheet Design'!$K$78:$K$79</c:f>
              <c:strCache>
                <c:ptCount val="1"/>
                <c:pt idx="0">
                  <c:v>Paid on Schedule</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Design'!$K$80:$K$91</c:f>
              <c:numCache>
                <c:formatCode>0</c:formatCode>
                <c:ptCount val="12"/>
                <c:pt idx="0">
                  <c:v>27</c:v>
                </c:pt>
                <c:pt idx="1">
                  <c:v>30</c:v>
                </c:pt>
                <c:pt idx="2">
                  <c:v>36</c:v>
                </c:pt>
                <c:pt idx="3">
                  <c:v>32</c:v>
                </c:pt>
                <c:pt idx="4">
                  <c:v>28</c:v>
                </c:pt>
                <c:pt idx="5">
                  <c:v>33</c:v>
                </c:pt>
                <c:pt idx="6">
                  <c:v>38</c:v>
                </c:pt>
                <c:pt idx="7">
                  <c:v>28</c:v>
                </c:pt>
                <c:pt idx="8">
                  <c:v>35</c:v>
                </c:pt>
                <c:pt idx="9">
                  <c:v>39</c:v>
                </c:pt>
                <c:pt idx="10">
                  <c:v>51</c:v>
                </c:pt>
                <c:pt idx="11">
                  <c:v>52</c:v>
                </c:pt>
              </c:numCache>
            </c:numRef>
          </c:val>
          <c:smooth val="0"/>
          <c:extLst>
            <c:ext xmlns:c16="http://schemas.microsoft.com/office/drawing/2014/chart" uri="{C3380CC4-5D6E-409C-BE32-E72D297353CC}">
              <c16:uniqueId val="{00000001-F785-47B5-890B-DD9D78B21DFF}"/>
            </c:ext>
          </c:extLst>
        </c:ser>
        <c:ser>
          <c:idx val="4"/>
          <c:order val="4"/>
          <c:tx>
            <c:strRef>
              <c:f>'Sheet Design'!$L$78:$L$79</c:f>
              <c:strCache>
                <c:ptCount val="1"/>
                <c:pt idx="0">
                  <c:v>Paid with Extra/Interest</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Design'!$L$80:$L$91</c:f>
              <c:numCache>
                <c:formatCode>0</c:formatCode>
                <c:ptCount val="12"/>
                <c:pt idx="0">
                  <c:v>565</c:v>
                </c:pt>
                <c:pt idx="1">
                  <c:v>538</c:v>
                </c:pt>
                <c:pt idx="2">
                  <c:v>486</c:v>
                </c:pt>
                <c:pt idx="3">
                  <c:v>461</c:v>
                </c:pt>
                <c:pt idx="4">
                  <c:v>445</c:v>
                </c:pt>
                <c:pt idx="5">
                  <c:v>457</c:v>
                </c:pt>
                <c:pt idx="6">
                  <c:v>452</c:v>
                </c:pt>
                <c:pt idx="7">
                  <c:v>485</c:v>
                </c:pt>
                <c:pt idx="8">
                  <c:v>469</c:v>
                </c:pt>
                <c:pt idx="9">
                  <c:v>514</c:v>
                </c:pt>
                <c:pt idx="10">
                  <c:v>586</c:v>
                </c:pt>
                <c:pt idx="11">
                  <c:v>626</c:v>
                </c:pt>
              </c:numCache>
            </c:numRef>
          </c:val>
          <c:smooth val="0"/>
          <c:extLst>
            <c:ext xmlns:c16="http://schemas.microsoft.com/office/drawing/2014/chart" uri="{C3380CC4-5D6E-409C-BE32-E72D297353CC}">
              <c16:uniqueId val="{00000002-F785-47B5-890B-DD9D78B21DFF}"/>
            </c:ext>
          </c:extLst>
        </c:ser>
        <c:dLbls>
          <c:showLegendKey val="0"/>
          <c:showVal val="0"/>
          <c:showCatName val="0"/>
          <c:showSerName val="0"/>
          <c:showPercent val="0"/>
          <c:showBubbleSize val="0"/>
        </c:dLbls>
        <c:marker val="1"/>
        <c:smooth val="0"/>
        <c:axId val="592446495"/>
        <c:axId val="592447455"/>
      </c:lineChart>
      <c:catAx>
        <c:axId val="5924464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2447455"/>
        <c:crosses val="autoZero"/>
        <c:auto val="1"/>
        <c:lblAlgn val="ctr"/>
        <c:lblOffset val="100"/>
        <c:noMultiLvlLbl val="0"/>
      </c:catAx>
      <c:valAx>
        <c:axId val="59244745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244649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Design!PivotTable12</c:name>
    <c:fmtId val="20"/>
  </c:pivotSource>
  <c:chart>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Lbl>
          <c:idx val="0"/>
          <c:layout>
            <c:manualLayout>
              <c:x val="3.888888888888889E-2"/>
              <c:y val="-9.25925925925942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dLbl>
          <c:idx val="0"/>
          <c:layout>
            <c:manualLayout>
              <c:x val="-2.7777777777777779E-3"/>
              <c:y val="-6.018518518518518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dLbl>
          <c:idx val="0"/>
          <c:layout>
            <c:manualLayout>
              <c:x val="3.888888888888889E-2"/>
              <c:y val="-9.25925925925942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pivotFmt>
      <c:pivotFmt>
        <c:idx val="7"/>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pivotFmt>
    </c:pivotFmts>
    <c:plotArea>
      <c:layout/>
      <c:barChart>
        <c:barDir val="col"/>
        <c:grouping val="stacked"/>
        <c:varyColors val="0"/>
        <c:ser>
          <c:idx val="0"/>
          <c:order val="0"/>
          <c:tx>
            <c:strRef>
              <c:f>'Sheet Design'!$C$99:$C$100</c:f>
              <c:strCache>
                <c:ptCount val="1"/>
                <c:pt idx="0">
                  <c:v>Clean</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Pt>
            <c:idx val="1"/>
            <c:invertIfNegative val="0"/>
            <c:bubble3D val="0"/>
            <c:extLst>
              <c:ext xmlns:c16="http://schemas.microsoft.com/office/drawing/2014/chart" uri="{C3380CC4-5D6E-409C-BE32-E72D297353CC}">
                <c16:uniqueId val="{00000003-040E-45A7-8CEE-EE566596BACD}"/>
              </c:ext>
            </c:extLst>
          </c:dPt>
          <c:dLbls>
            <c:dLbl>
              <c:idx val="1"/>
              <c:layout>
                <c:manualLayout>
                  <c:x val="3.888888888888889E-2"/>
                  <c:y val="-9.2592592592594287E-3"/>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040E-45A7-8CEE-EE566596BAC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 Design'!$B$101:$B$103</c:f>
              <c:strCache>
                <c:ptCount val="3"/>
                <c:pt idx="0">
                  <c:v>Charged Off</c:v>
                </c:pt>
                <c:pt idx="1">
                  <c:v>Current</c:v>
                </c:pt>
                <c:pt idx="2">
                  <c:v>Fully Paid</c:v>
                </c:pt>
              </c:strCache>
            </c:strRef>
          </c:cat>
          <c:val>
            <c:numRef>
              <c:f>'Sheet Design'!$C$101:$C$103</c:f>
              <c:numCache>
                <c:formatCode>0</c:formatCode>
                <c:ptCount val="3"/>
                <c:pt idx="0">
                  <c:v>4853</c:v>
                </c:pt>
                <c:pt idx="1">
                  <c:v>1044</c:v>
                </c:pt>
                <c:pt idx="2">
                  <c:v>29681</c:v>
                </c:pt>
              </c:numCache>
            </c:numRef>
          </c:val>
          <c:extLst>
            <c:ext xmlns:c16="http://schemas.microsoft.com/office/drawing/2014/chart" uri="{C3380CC4-5D6E-409C-BE32-E72D297353CC}">
              <c16:uniqueId val="{00000000-040E-45A7-8CEE-EE566596BACD}"/>
            </c:ext>
          </c:extLst>
        </c:ser>
        <c:ser>
          <c:idx val="1"/>
          <c:order val="1"/>
          <c:tx>
            <c:strRef>
              <c:f>'Sheet Design'!$D$99:$D$100</c:f>
              <c:strCache>
                <c:ptCount val="1"/>
                <c:pt idx="0">
                  <c:v>Potential Fraud</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dPt>
            <c:idx val="1"/>
            <c:invertIfNegative val="0"/>
            <c:bubble3D val="0"/>
            <c:extLst>
              <c:ext xmlns:c16="http://schemas.microsoft.com/office/drawing/2014/chart" uri="{C3380CC4-5D6E-409C-BE32-E72D297353CC}">
                <c16:uniqueId val="{00000001-B720-48A8-A19C-31B8E56F4E36}"/>
              </c:ext>
            </c:extLst>
          </c:dPt>
          <c:dLbls>
            <c:dLbl>
              <c:idx val="1"/>
              <c:layout>
                <c:manualLayout>
                  <c:x val="-2.7777777777777779E-3"/>
                  <c:y val="-6.018518518518518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720-48A8-A19C-31B8E56F4E3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 Design'!$B$101:$B$103</c:f>
              <c:strCache>
                <c:ptCount val="3"/>
                <c:pt idx="0">
                  <c:v>Charged Off</c:v>
                </c:pt>
                <c:pt idx="1">
                  <c:v>Current</c:v>
                </c:pt>
                <c:pt idx="2">
                  <c:v>Fully Paid</c:v>
                </c:pt>
              </c:strCache>
            </c:strRef>
          </c:cat>
          <c:val>
            <c:numRef>
              <c:f>'Sheet Design'!$D$101:$D$103</c:f>
              <c:numCache>
                <c:formatCode>0</c:formatCode>
                <c:ptCount val="3"/>
                <c:pt idx="0">
                  <c:v>480</c:v>
                </c:pt>
                <c:pt idx="1">
                  <c:v>54</c:v>
                </c:pt>
                <c:pt idx="2">
                  <c:v>2464</c:v>
                </c:pt>
              </c:numCache>
            </c:numRef>
          </c:val>
          <c:extLst>
            <c:ext xmlns:c16="http://schemas.microsoft.com/office/drawing/2014/chart" uri="{C3380CC4-5D6E-409C-BE32-E72D297353CC}">
              <c16:uniqueId val="{00000002-CE42-45AD-A372-2D0CBD55F10B}"/>
            </c:ext>
          </c:extLst>
        </c:ser>
        <c:dLbls>
          <c:showLegendKey val="0"/>
          <c:showVal val="1"/>
          <c:showCatName val="0"/>
          <c:showSerName val="0"/>
          <c:showPercent val="0"/>
          <c:showBubbleSize val="0"/>
        </c:dLbls>
        <c:gapWidth val="150"/>
        <c:overlap val="100"/>
        <c:axId val="73491952"/>
        <c:axId val="73504912"/>
      </c:barChart>
      <c:catAx>
        <c:axId val="73491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73504912"/>
        <c:crosses val="autoZero"/>
        <c:auto val="1"/>
        <c:lblAlgn val="ctr"/>
        <c:lblOffset val="100"/>
        <c:noMultiLvlLbl val="0"/>
      </c:catAx>
      <c:valAx>
        <c:axId val="73504912"/>
        <c:scaling>
          <c:orientation val="minMax"/>
        </c:scaling>
        <c:delete val="1"/>
        <c:axPos val="l"/>
        <c:numFmt formatCode="0" sourceLinked="1"/>
        <c:majorTickMark val="none"/>
        <c:minorTickMark val="none"/>
        <c:tickLblPos val="nextTo"/>
        <c:crossAx val="734919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Design!PivotTable13</c:name>
    <c:fmtId val="25"/>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 Design'!$J$97:$J$98</c:f>
              <c:strCache>
                <c:ptCount val="1"/>
                <c:pt idx="0">
                  <c:v>Potential Fraud</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Design'!$I$99:$I$103</c:f>
              <c:strCache>
                <c:ptCount val="5"/>
                <c:pt idx="0">
                  <c:v>MORTGAGE</c:v>
                </c:pt>
                <c:pt idx="1">
                  <c:v>NONE</c:v>
                </c:pt>
                <c:pt idx="2">
                  <c:v>OTHER</c:v>
                </c:pt>
                <c:pt idx="3">
                  <c:v>OWN</c:v>
                </c:pt>
                <c:pt idx="4">
                  <c:v>RENT</c:v>
                </c:pt>
              </c:strCache>
            </c:strRef>
          </c:cat>
          <c:val>
            <c:numRef>
              <c:f>'Sheet Design'!$J$99:$J$103</c:f>
              <c:numCache>
                <c:formatCode>0</c:formatCode>
                <c:ptCount val="5"/>
                <c:pt idx="0">
                  <c:v>680</c:v>
                </c:pt>
                <c:pt idx="1">
                  <c:v>2</c:v>
                </c:pt>
                <c:pt idx="2">
                  <c:v>6</c:v>
                </c:pt>
                <c:pt idx="3">
                  <c:v>206</c:v>
                </c:pt>
                <c:pt idx="4">
                  <c:v>2104</c:v>
                </c:pt>
              </c:numCache>
            </c:numRef>
          </c:val>
          <c:extLst>
            <c:ext xmlns:c16="http://schemas.microsoft.com/office/drawing/2014/chart" uri="{C3380CC4-5D6E-409C-BE32-E72D297353CC}">
              <c16:uniqueId val="{00000000-9AD0-47CA-9AFE-847B2E841D2E}"/>
            </c:ext>
          </c:extLst>
        </c:ser>
        <c:dLbls>
          <c:dLblPos val="ctr"/>
          <c:showLegendKey val="0"/>
          <c:showVal val="1"/>
          <c:showCatName val="0"/>
          <c:showSerName val="0"/>
          <c:showPercent val="0"/>
          <c:showBubbleSize val="0"/>
        </c:dLbls>
        <c:gapWidth val="150"/>
        <c:overlap val="100"/>
        <c:axId val="1048930304"/>
        <c:axId val="1048929344"/>
      </c:barChart>
      <c:catAx>
        <c:axId val="1048930304"/>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8929344"/>
        <c:crosses val="autoZero"/>
        <c:auto val="1"/>
        <c:lblAlgn val="ctr"/>
        <c:lblOffset val="100"/>
        <c:noMultiLvlLbl val="0"/>
      </c:catAx>
      <c:valAx>
        <c:axId val="1048929344"/>
        <c:scaling>
          <c:orientation val="minMax"/>
        </c:scaling>
        <c:delete val="1"/>
        <c:axPos val="b"/>
        <c:numFmt formatCode="0" sourceLinked="1"/>
        <c:majorTickMark val="none"/>
        <c:minorTickMark val="none"/>
        <c:tickLblPos val="nextTo"/>
        <c:crossAx val="1048930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Design!PivotTable14</c:name>
    <c:fmtId val="29"/>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 Design'!$N$97:$N$98</c:f>
              <c:strCache>
                <c:ptCount val="1"/>
                <c:pt idx="0">
                  <c:v>Clean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 Design'!$M$99:$M$103</c:f>
              <c:strCache>
                <c:ptCount val="5"/>
                <c:pt idx="0">
                  <c:v>MORTGAGE</c:v>
                </c:pt>
                <c:pt idx="1">
                  <c:v>NONE</c:v>
                </c:pt>
                <c:pt idx="2">
                  <c:v>OTHER</c:v>
                </c:pt>
                <c:pt idx="3">
                  <c:v>OWN</c:v>
                </c:pt>
                <c:pt idx="4">
                  <c:v>RENT</c:v>
                </c:pt>
              </c:strCache>
            </c:strRef>
          </c:cat>
          <c:val>
            <c:numRef>
              <c:f>'Sheet Design'!$N$99:$N$103</c:f>
              <c:numCache>
                <c:formatCode>0</c:formatCode>
                <c:ptCount val="5"/>
                <c:pt idx="0">
                  <c:v>16518</c:v>
                </c:pt>
                <c:pt idx="1">
                  <c:v>1</c:v>
                </c:pt>
                <c:pt idx="2">
                  <c:v>92</c:v>
                </c:pt>
                <c:pt idx="3">
                  <c:v>2632</c:v>
                </c:pt>
                <c:pt idx="4">
                  <c:v>16335</c:v>
                </c:pt>
              </c:numCache>
            </c:numRef>
          </c:val>
          <c:extLst>
            <c:ext xmlns:c16="http://schemas.microsoft.com/office/drawing/2014/chart" uri="{C3380CC4-5D6E-409C-BE32-E72D297353CC}">
              <c16:uniqueId val="{00000000-9825-416D-A35A-C35979382C58}"/>
            </c:ext>
          </c:extLst>
        </c:ser>
        <c:dLbls>
          <c:dLblPos val="inBase"/>
          <c:showLegendKey val="0"/>
          <c:showVal val="1"/>
          <c:showCatName val="0"/>
          <c:showSerName val="0"/>
          <c:showPercent val="0"/>
          <c:showBubbleSize val="0"/>
        </c:dLbls>
        <c:gapWidth val="150"/>
        <c:overlap val="100"/>
        <c:axId val="1036147360"/>
        <c:axId val="1992698288"/>
      </c:barChart>
      <c:catAx>
        <c:axId val="1036147360"/>
        <c:scaling>
          <c:orientation val="minMax"/>
        </c:scaling>
        <c:delete val="1"/>
        <c:axPos val="l"/>
        <c:numFmt formatCode="General" sourceLinked="1"/>
        <c:majorTickMark val="none"/>
        <c:minorTickMark val="none"/>
        <c:tickLblPos val="nextTo"/>
        <c:crossAx val="1992698288"/>
        <c:crosses val="autoZero"/>
        <c:auto val="1"/>
        <c:lblAlgn val="ctr"/>
        <c:lblOffset val="100"/>
        <c:noMultiLvlLbl val="0"/>
      </c:catAx>
      <c:valAx>
        <c:axId val="1992698288"/>
        <c:scaling>
          <c:orientation val="minMax"/>
        </c:scaling>
        <c:delete val="1"/>
        <c:axPos val="b"/>
        <c:numFmt formatCode="0" sourceLinked="1"/>
        <c:majorTickMark val="none"/>
        <c:minorTickMark val="none"/>
        <c:tickLblPos val="nextTo"/>
        <c:crossAx val="1036147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lotArea>
      <c:layout/>
      <c:bubbleChart>
        <c:varyColors val="0"/>
        <c:ser>
          <c:idx val="0"/>
          <c:order val="0"/>
          <c:tx>
            <c:strRef>
              <c:f>'Sheet Design'!$H$179</c:f>
              <c:strCache>
                <c:ptCount val="1"/>
                <c:pt idx="0">
                  <c:v>% Charged Off</c:v>
                </c:pt>
              </c:strCache>
            </c:strRef>
          </c:tx>
          <c:spPr>
            <a:pattFill prst="ltUpDiag">
              <a:fgClr>
                <a:schemeClr val="accent1"/>
              </a:fgClr>
              <a:bgClr>
                <a:schemeClr val="accent1">
                  <a:lumMod val="20000"/>
                  <a:lumOff val="80000"/>
                </a:schemeClr>
              </a:bgClr>
            </a:pattFill>
            <a:ln w="9525" cap="flat" cmpd="sng" algn="ctr">
              <a:solidFill>
                <a:schemeClr val="accent1">
                  <a:alpha val="75000"/>
                </a:schemeClr>
              </a:solidFill>
            </a:ln>
            <a:effectLst>
              <a:innerShdw blurRad="114300">
                <a:schemeClr val="accent1">
                  <a:alpha val="70000"/>
                </a:schemeClr>
              </a:innerShdw>
            </a:effectLst>
          </c:spPr>
          <c:invertIfNegative val="0"/>
          <c:dLbls>
            <c:delete val="1"/>
          </c:dLbls>
          <c:xVal>
            <c:numRef>
              <c:f>'Sheet Design'!$G$180:$G$206</c:f>
              <c:numCache>
                <c:formatCode>General</c:formatCode>
                <c:ptCount val="27"/>
                <c:pt idx="0">
                  <c:v>2.6</c:v>
                </c:pt>
                <c:pt idx="1">
                  <c:v>2.8</c:v>
                </c:pt>
                <c:pt idx="2">
                  <c:v>3.3</c:v>
                </c:pt>
                <c:pt idx="3">
                  <c:v>3.4</c:v>
                </c:pt>
                <c:pt idx="4">
                  <c:v>3.6</c:v>
                </c:pt>
                <c:pt idx="5">
                  <c:v>3.7</c:v>
                </c:pt>
                <c:pt idx="6">
                  <c:v>3.8</c:v>
                </c:pt>
                <c:pt idx="7">
                  <c:v>3.9</c:v>
                </c:pt>
                <c:pt idx="8">
                  <c:v>4</c:v>
                </c:pt>
                <c:pt idx="9">
                  <c:v>4.2</c:v>
                </c:pt>
                <c:pt idx="10">
                  <c:v>4.5</c:v>
                </c:pt>
                <c:pt idx="11">
                  <c:v>4.7</c:v>
                </c:pt>
                <c:pt idx="12">
                  <c:v>4.9000000000000004</c:v>
                </c:pt>
                <c:pt idx="13">
                  <c:v>5.0999999999999996</c:v>
                </c:pt>
                <c:pt idx="14">
                  <c:v>5.2</c:v>
                </c:pt>
                <c:pt idx="15">
                  <c:v>5.4</c:v>
                </c:pt>
                <c:pt idx="16">
                  <c:v>5.5</c:v>
                </c:pt>
                <c:pt idx="17">
                  <c:v>5.6</c:v>
                </c:pt>
                <c:pt idx="18">
                  <c:v>5.7</c:v>
                </c:pt>
                <c:pt idx="19">
                  <c:v>5.9</c:v>
                </c:pt>
                <c:pt idx="20">
                  <c:v>6</c:v>
                </c:pt>
                <c:pt idx="21">
                  <c:v>6.1</c:v>
                </c:pt>
                <c:pt idx="22">
                  <c:v>6.4</c:v>
                </c:pt>
                <c:pt idx="23">
                  <c:v>6.7</c:v>
                </c:pt>
                <c:pt idx="24">
                  <c:v>6.8</c:v>
                </c:pt>
                <c:pt idx="25">
                  <c:v>7.1</c:v>
                </c:pt>
                <c:pt idx="26">
                  <c:v>7.3</c:v>
                </c:pt>
              </c:numCache>
            </c:numRef>
          </c:xVal>
          <c:yVal>
            <c:numRef>
              <c:f>'Sheet Design'!$H$180:$H$206</c:f>
              <c:numCache>
                <c:formatCode>0.00%</c:formatCode>
                <c:ptCount val="27"/>
                <c:pt idx="0">
                  <c:v>0.20588235294117646</c:v>
                </c:pt>
                <c:pt idx="1">
                  <c:v>0.15476190476190477</c:v>
                </c:pt>
                <c:pt idx="2">
                  <c:v>0.1</c:v>
                </c:pt>
                <c:pt idx="3">
                  <c:v>0.12202380952380952</c:v>
                </c:pt>
                <c:pt idx="4">
                  <c:v>0.11666666666666667</c:v>
                </c:pt>
                <c:pt idx="5">
                  <c:v>0.13175675675675674</c:v>
                </c:pt>
                <c:pt idx="6">
                  <c:v>0</c:v>
                </c:pt>
                <c:pt idx="7">
                  <c:v>0.13702384214853386</c:v>
                </c:pt>
                <c:pt idx="8">
                  <c:v>0.12476370510396975</c:v>
                </c:pt>
                <c:pt idx="9">
                  <c:v>0.15757575757575756</c:v>
                </c:pt>
                <c:pt idx="10">
                  <c:v>0.11778846153846154</c:v>
                </c:pt>
                <c:pt idx="11">
                  <c:v>0.17255043227665706</c:v>
                </c:pt>
                <c:pt idx="12">
                  <c:v>0.14229249011857709</c:v>
                </c:pt>
                <c:pt idx="13">
                  <c:v>0.12659963436928701</c:v>
                </c:pt>
                <c:pt idx="14">
                  <c:v>0.15035273368606702</c:v>
                </c:pt>
                <c:pt idx="15">
                  <c:v>0.1143717080511663</c:v>
                </c:pt>
                <c:pt idx="16">
                  <c:v>0.11802973977695168</c:v>
                </c:pt>
                <c:pt idx="17">
                  <c:v>0.11423948220064725</c:v>
                </c:pt>
                <c:pt idx="18">
                  <c:v>0.14014598540145987</c:v>
                </c:pt>
                <c:pt idx="19">
                  <c:v>0.11403508771929824</c:v>
                </c:pt>
                <c:pt idx="20">
                  <c:v>0.16470588235294117</c:v>
                </c:pt>
                <c:pt idx="21">
                  <c:v>0.12920592193808883</c:v>
                </c:pt>
                <c:pt idx="22">
                  <c:v>0.12747524752475248</c:v>
                </c:pt>
                <c:pt idx="23">
                  <c:v>0.14983534577387486</c:v>
                </c:pt>
                <c:pt idx="24">
                  <c:v>0.16666666666666666</c:v>
                </c:pt>
                <c:pt idx="25">
                  <c:v>0.12796086508753862</c:v>
                </c:pt>
                <c:pt idx="26">
                  <c:v>0.1533217290397447</c:v>
                </c:pt>
              </c:numCache>
            </c:numRef>
          </c:yVal>
          <c:bubbleSize>
            <c:numRef>
              <c:f>'Sheet Design'!$I$180:$I$206</c:f>
              <c:numCache>
                <c:formatCode>General</c:formatCode>
                <c:ptCount val="27"/>
                <c:pt idx="0">
                  <c:v>68</c:v>
                </c:pt>
                <c:pt idx="1">
                  <c:v>252</c:v>
                </c:pt>
                <c:pt idx="2">
                  <c:v>260</c:v>
                </c:pt>
                <c:pt idx="3">
                  <c:v>672</c:v>
                </c:pt>
                <c:pt idx="4">
                  <c:v>60</c:v>
                </c:pt>
                <c:pt idx="5">
                  <c:v>592</c:v>
                </c:pt>
                <c:pt idx="6">
                  <c:v>5</c:v>
                </c:pt>
                <c:pt idx="7">
                  <c:v>3649</c:v>
                </c:pt>
                <c:pt idx="8">
                  <c:v>529</c:v>
                </c:pt>
                <c:pt idx="9">
                  <c:v>660</c:v>
                </c:pt>
                <c:pt idx="10">
                  <c:v>416</c:v>
                </c:pt>
                <c:pt idx="11">
                  <c:v>2776</c:v>
                </c:pt>
                <c:pt idx="12">
                  <c:v>759</c:v>
                </c:pt>
                <c:pt idx="13">
                  <c:v>2188</c:v>
                </c:pt>
                <c:pt idx="14">
                  <c:v>2268</c:v>
                </c:pt>
                <c:pt idx="15">
                  <c:v>1329</c:v>
                </c:pt>
                <c:pt idx="16">
                  <c:v>1076</c:v>
                </c:pt>
                <c:pt idx="17">
                  <c:v>3090</c:v>
                </c:pt>
                <c:pt idx="18">
                  <c:v>685</c:v>
                </c:pt>
                <c:pt idx="19">
                  <c:v>1482</c:v>
                </c:pt>
                <c:pt idx="20">
                  <c:v>170</c:v>
                </c:pt>
                <c:pt idx="21">
                  <c:v>1486</c:v>
                </c:pt>
                <c:pt idx="22">
                  <c:v>808</c:v>
                </c:pt>
                <c:pt idx="23">
                  <c:v>1822</c:v>
                </c:pt>
                <c:pt idx="24">
                  <c:v>696</c:v>
                </c:pt>
                <c:pt idx="25">
                  <c:v>3884</c:v>
                </c:pt>
                <c:pt idx="26">
                  <c:v>6894</c:v>
                </c:pt>
              </c:numCache>
            </c:numRef>
          </c:bubbleSize>
          <c:bubble3D val="0"/>
          <c:extLst>
            <c:ext xmlns:c16="http://schemas.microsoft.com/office/drawing/2014/chart" uri="{C3380CC4-5D6E-409C-BE32-E72D297353CC}">
              <c16:uniqueId val="{00000000-CE11-4305-9655-213A83462E4D}"/>
            </c:ext>
          </c:extLst>
        </c:ser>
        <c:dLbls>
          <c:dLblPos val="ctr"/>
          <c:showLegendKey val="0"/>
          <c:showVal val="1"/>
          <c:showCatName val="0"/>
          <c:showSerName val="0"/>
          <c:showPercent val="0"/>
          <c:showBubbleSize val="0"/>
        </c:dLbls>
        <c:bubbleScale val="100"/>
        <c:showNegBubbles val="0"/>
        <c:axId val="573533999"/>
        <c:axId val="573539279"/>
      </c:bubbleChart>
      <c:valAx>
        <c:axId val="573533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3539279"/>
        <c:crosses val="autoZero"/>
        <c:crossBetween val="midCat"/>
      </c:valAx>
      <c:valAx>
        <c:axId val="573539279"/>
        <c:scaling>
          <c:orientation val="minMax"/>
          <c:min val="0"/>
        </c:scaling>
        <c:delete val="0"/>
        <c:axPos val="l"/>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353399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Design!PivotTable21</c:name>
    <c:fmtId val="31"/>
  </c:pivotSource>
  <c:chart>
    <c:autoTitleDeleted val="0"/>
    <c:pivotFmts>
      <c:pivotFmt>
        <c:idx val="0"/>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31750" cap="rnd">
            <a:solidFill>
              <a:schemeClr val="accent1"/>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1.4038362698135317E-2"/>
              <c:y val="-4.729954530331574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0343053272187129E-2"/>
              <c:y val="4.221840227718014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0893830578869949E-2"/>
              <c:y val="2.813389523492661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Lbl>
          <c:idx val="0"/>
          <c:layout>
            <c:manualLayout>
              <c:x val="-3.4926018863026737E-2"/>
              <c:y val="4.22184022771800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31750" cap="rnd">
            <a:solidFill>
              <a:schemeClr val="accent1"/>
            </a:solidFill>
            <a:round/>
          </a:ln>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 Design'!$K$228:$K$229</c:f>
              <c:strCache>
                <c:ptCount val="1"/>
                <c:pt idx="0">
                  <c:v>High Risk State</c:v>
                </c:pt>
              </c:strCache>
            </c:strRef>
          </c:tx>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 Design'!$J$230:$J$241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Design'!$K$230:$K$241</c:f>
              <c:numCache>
                <c:formatCode>0.0,"K"</c:formatCode>
                <c:ptCount val="12"/>
                <c:pt idx="0">
                  <c:v>1302</c:v>
                </c:pt>
                <c:pt idx="1">
                  <c:v>1262</c:v>
                </c:pt>
                <c:pt idx="2">
                  <c:v>1458</c:v>
                </c:pt>
                <c:pt idx="3">
                  <c:v>1502</c:v>
                </c:pt>
                <c:pt idx="4">
                  <c:v>1599</c:v>
                </c:pt>
                <c:pt idx="5">
                  <c:v>1675</c:v>
                </c:pt>
                <c:pt idx="6">
                  <c:v>1759</c:v>
                </c:pt>
                <c:pt idx="7">
                  <c:v>1886</c:v>
                </c:pt>
                <c:pt idx="8">
                  <c:v>1988</c:v>
                </c:pt>
                <c:pt idx="9">
                  <c:v>2098</c:v>
                </c:pt>
                <c:pt idx="10">
                  <c:v>2124</c:v>
                </c:pt>
                <c:pt idx="11">
                  <c:v>2364</c:v>
                </c:pt>
              </c:numCache>
            </c:numRef>
          </c:val>
          <c:smooth val="0"/>
          <c:extLst>
            <c:ext xmlns:c16="http://schemas.microsoft.com/office/drawing/2014/chart" uri="{C3380CC4-5D6E-409C-BE32-E72D297353CC}">
              <c16:uniqueId val="{00000000-19D1-4C1A-B14A-832064AED6EE}"/>
            </c:ext>
          </c:extLst>
        </c:ser>
        <c:ser>
          <c:idx val="1"/>
          <c:order val="1"/>
          <c:tx>
            <c:strRef>
              <c:f>'Sheet Design'!$L$228:$L$229</c:f>
              <c:strCache>
                <c:ptCount val="1"/>
                <c:pt idx="0">
                  <c:v>Low Risk State</c:v>
                </c:pt>
              </c:strCache>
            </c:strRef>
          </c:tx>
          <c:spPr>
            <a:ln w="31750" cap="rnd">
              <a:solidFill>
                <a:schemeClr val="accent2"/>
              </a:solidFill>
              <a:round/>
            </a:ln>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dPt>
            <c:idx val="8"/>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dPt>
          <c:dPt>
            <c:idx val="9"/>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dPt>
          <c:dPt>
            <c:idx val="10"/>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dPt>
          <c:dPt>
            <c:idx val="11"/>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12700">
                  <a:solidFill>
                    <a:schemeClr val="lt2"/>
                  </a:solidFill>
                  <a:round/>
                </a:ln>
                <a:effectLst/>
              </c:spPr>
            </c:marker>
            <c:bubble3D val="0"/>
            <c:spPr>
              <a:ln w="31750" cap="rnd">
                <a:solidFill>
                  <a:schemeClr val="accent2"/>
                </a:solidFill>
                <a:round/>
              </a:ln>
              <a:effectLst/>
            </c:spPr>
          </c:dPt>
          <c:dLbls>
            <c:dLbl>
              <c:idx val="8"/>
              <c:layout>
                <c:manualLayout>
                  <c:x val="-3.4926018863026737E-2"/>
                  <c:y val="4.2218402277180052E-2"/>
                </c:manualLayout>
              </c:layout>
              <c:dLblPos val="r"/>
              <c:showLegendKey val="0"/>
              <c:showVal val="1"/>
              <c:showCatName val="0"/>
              <c:showSerName val="0"/>
              <c:showPercent val="0"/>
              <c:showBubbleSize val="0"/>
              <c:extLst>
                <c:ext xmlns:c15="http://schemas.microsoft.com/office/drawing/2012/chart" uri="{CE6537A1-D6FC-4f65-9D91-7224C49458BB}"/>
              </c:extLst>
            </c:dLbl>
            <c:dLbl>
              <c:idx val="9"/>
              <c:layout>
                <c:manualLayout>
                  <c:x val="-3.0893830578869949E-2"/>
                  <c:y val="2.8133895234926619E-2"/>
                </c:manualLayout>
              </c:layout>
              <c:dLblPos val="r"/>
              <c:showLegendKey val="0"/>
              <c:showVal val="1"/>
              <c:showCatName val="0"/>
              <c:showSerName val="0"/>
              <c:showPercent val="0"/>
              <c:showBubbleSize val="0"/>
              <c:extLst>
                <c:ext xmlns:c15="http://schemas.microsoft.com/office/drawing/2012/chart" uri="{CE6537A1-D6FC-4f65-9D91-7224C49458BB}"/>
              </c:extLst>
            </c:dLbl>
            <c:dLbl>
              <c:idx val="10"/>
              <c:layout>
                <c:manualLayout>
                  <c:x val="-3.0343053272187129E-2"/>
                  <c:y val="4.2218402277180142E-2"/>
                </c:manualLayout>
              </c:layout>
              <c:dLblPos val="r"/>
              <c:showLegendKey val="0"/>
              <c:showVal val="1"/>
              <c:showCatName val="0"/>
              <c:showSerName val="0"/>
              <c:showPercent val="0"/>
              <c:showBubbleSize val="0"/>
              <c:extLst>
                <c:ext xmlns:c15="http://schemas.microsoft.com/office/drawing/2012/chart" uri="{CE6537A1-D6FC-4f65-9D91-7224C49458BB}"/>
              </c:extLst>
            </c:dLbl>
            <c:dLbl>
              <c:idx val="11"/>
              <c:layout>
                <c:manualLayout>
                  <c:x val="-1.4038362698135317E-2"/>
                  <c:y val="-4.7299545303315744E-3"/>
                </c:manualLayout>
              </c:layout>
              <c:dLblPos val="r"/>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'Sheet Design'!$J$230:$J$241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Design'!$L$230:$L$241</c:f>
              <c:numCache>
                <c:formatCode>0.0,"K"</c:formatCode>
                <c:ptCount val="12"/>
                <c:pt idx="0">
                  <c:v>1030</c:v>
                </c:pt>
                <c:pt idx="1">
                  <c:v>1017</c:v>
                </c:pt>
                <c:pt idx="2">
                  <c:v>1169</c:v>
                </c:pt>
                <c:pt idx="3">
                  <c:v>1253</c:v>
                </c:pt>
                <c:pt idx="4">
                  <c:v>1312</c:v>
                </c:pt>
                <c:pt idx="5">
                  <c:v>1509</c:v>
                </c:pt>
                <c:pt idx="6">
                  <c:v>1607</c:v>
                </c:pt>
                <c:pt idx="7">
                  <c:v>1555</c:v>
                </c:pt>
                <c:pt idx="8">
                  <c:v>1548</c:v>
                </c:pt>
                <c:pt idx="9">
                  <c:v>1698</c:v>
                </c:pt>
                <c:pt idx="10">
                  <c:v>1911</c:v>
                </c:pt>
                <c:pt idx="11">
                  <c:v>1950</c:v>
                </c:pt>
              </c:numCache>
            </c:numRef>
          </c:val>
          <c:smooth val="0"/>
          <c:extLst>
            <c:ext xmlns:c16="http://schemas.microsoft.com/office/drawing/2014/chart" uri="{C3380CC4-5D6E-409C-BE32-E72D297353CC}">
              <c16:uniqueId val="{0000000A-C076-4251-8883-3ED07863FAE4}"/>
            </c:ext>
          </c:extLst>
        </c:ser>
        <c:dLbls>
          <c:dLblPos val="t"/>
          <c:showLegendKey val="0"/>
          <c:showVal val="1"/>
          <c:showCatName val="0"/>
          <c:showSerName val="0"/>
          <c:showPercent val="0"/>
          <c:showBubbleSize val="0"/>
        </c:dLbls>
        <c:marker val="1"/>
        <c:smooth val="0"/>
        <c:axId val="1281317504"/>
        <c:axId val="1281310784"/>
      </c:lineChart>
      <c:catAx>
        <c:axId val="1281317504"/>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81310784"/>
        <c:crosses val="autoZero"/>
        <c:auto val="1"/>
        <c:lblAlgn val="ctr"/>
        <c:lblOffset val="100"/>
        <c:noMultiLvlLbl val="0"/>
      </c:catAx>
      <c:valAx>
        <c:axId val="1281310784"/>
        <c:scaling>
          <c:orientation val="minMax"/>
        </c:scaling>
        <c:delete val="1"/>
        <c:axPos val="l"/>
        <c:majorGridlines>
          <c:spPr>
            <a:ln w="9525" cap="flat" cmpd="sng" algn="ctr">
              <a:solidFill>
                <a:schemeClr val="tx2">
                  <a:lumMod val="15000"/>
                  <a:lumOff val="85000"/>
                </a:schemeClr>
              </a:solidFill>
              <a:round/>
            </a:ln>
            <a:effectLst/>
          </c:spPr>
        </c:majorGridlines>
        <c:numFmt formatCode="0.0,&quot;K&quot;" sourceLinked="1"/>
        <c:majorTickMark val="none"/>
        <c:minorTickMark val="none"/>
        <c:tickLblPos val="nextTo"/>
        <c:crossAx val="12813175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c:name>
    <c:fmtId val="11"/>
  </c:pivotSource>
  <c:chart>
    <c:autoTitleDeleted val="1"/>
    <c:pivotFmts>
      <c:pivotFmt>
        <c:idx val="0"/>
        <c:spPr>
          <a:solidFill>
            <a:schemeClr val="accent5">
              <a:lumMod val="20000"/>
              <a:lumOff val="80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5">
              <a:lumMod val="20000"/>
              <a:lumOff val="80000"/>
            </a:schemeClr>
          </a:solidFill>
          <a:ln w="19050">
            <a:solidFill>
              <a:schemeClr val="lt1"/>
            </a:solidFill>
          </a:ln>
          <a:effectLst/>
        </c:spPr>
        <c:dLbl>
          <c:idx val="0"/>
          <c:layout>
            <c:manualLayout>
              <c:x val="2.5000000000000001E-2"/>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lumMod val="20000"/>
              <a:lumOff val="80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lumMod val="75000"/>
            </a:schemeClr>
          </a:solidFill>
          <a:ln w="19050">
            <a:solidFill>
              <a:schemeClr val="lt1"/>
            </a:solidFill>
          </a:ln>
          <a:effectLst/>
        </c:spPr>
        <c:dLbl>
          <c:idx val="0"/>
          <c:layout>
            <c:manualLayout>
              <c:x val="5.2777777777777778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5">
              <a:lumMod val="20000"/>
              <a:lumOff val="80000"/>
            </a:schemeClr>
          </a:solidFill>
          <a:ln w="19050">
            <a:solidFill>
              <a:schemeClr val="lt1"/>
            </a:solidFill>
          </a:ln>
          <a:effectLst/>
        </c:spPr>
        <c:dLbl>
          <c:idx val="0"/>
          <c:layout>
            <c:manualLayout>
              <c:x val="5.5555555555555046E-3"/>
              <c:y val="6.018518518518518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4">
              <a:lumMod val="75000"/>
            </a:schemeClr>
          </a:solidFill>
          <a:ln w="19050">
            <a:solidFill>
              <a:schemeClr val="lt1"/>
            </a:solidFill>
          </a:ln>
          <a:effectLst/>
        </c:spPr>
        <c:dLbl>
          <c:idx val="0"/>
          <c:layout>
            <c:manualLayout>
              <c:x val="-6.1111111111111088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5">
              <a:lumMod val="20000"/>
              <a:lumOff val="80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2">
              <a:lumMod val="75000"/>
            </a:schemeClr>
          </a:solidFill>
          <a:ln w="19050">
            <a:solidFill>
              <a:schemeClr val="lt1"/>
            </a:solidFill>
          </a:ln>
          <a:effectLst/>
        </c:spPr>
        <c:dLbl>
          <c:idx val="0"/>
          <c:layout>
            <c:manualLayout>
              <c:x val="5.2777777777777778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5">
              <a:lumMod val="20000"/>
              <a:lumOff val="80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5">
              <a:lumMod val="20000"/>
              <a:lumOff val="80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5">
              <a:lumMod val="20000"/>
              <a:lumOff val="80000"/>
            </a:schemeClr>
          </a:solidFill>
          <a:ln w="19050">
            <a:solidFill>
              <a:schemeClr val="lt1"/>
            </a:solidFill>
          </a:ln>
          <a:effectLst/>
        </c:spPr>
        <c:dLbl>
          <c:idx val="0"/>
          <c:layout>
            <c:manualLayout>
              <c:x val="5.5555555555555046E-3"/>
              <c:y val="6.018518518518518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4">
              <a:lumMod val="75000"/>
            </a:schemeClr>
          </a:solidFill>
          <a:ln w="19050">
            <a:solidFill>
              <a:schemeClr val="lt1"/>
            </a:solidFill>
          </a:ln>
          <a:effectLst/>
        </c:spPr>
        <c:dLbl>
          <c:idx val="0"/>
          <c:layout>
            <c:manualLayout>
              <c:x val="-6.1111111111111088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5">
              <a:lumMod val="20000"/>
              <a:lumOff val="80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2">
              <a:lumMod val="75000"/>
            </a:schemeClr>
          </a:solidFill>
          <a:ln w="19050">
            <a:solidFill>
              <a:schemeClr val="lt1"/>
            </a:solidFill>
          </a:ln>
          <a:effectLst/>
        </c:spPr>
        <c:dLbl>
          <c:idx val="0"/>
          <c:layout>
            <c:manualLayout>
              <c:x val="5.2777777777777778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5">
              <a:lumMod val="20000"/>
              <a:lumOff val="80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5">
              <a:lumMod val="20000"/>
              <a:lumOff val="80000"/>
            </a:schemeClr>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5">
              <a:lumMod val="20000"/>
              <a:lumOff val="80000"/>
            </a:schemeClr>
          </a:solidFill>
          <a:ln w="19050">
            <a:solidFill>
              <a:schemeClr val="lt1"/>
            </a:solidFill>
          </a:ln>
          <a:effectLst/>
        </c:spPr>
        <c:dLbl>
          <c:idx val="0"/>
          <c:layout>
            <c:manualLayout>
              <c:x val="5.5555555555555046E-3"/>
              <c:y val="6.018518518518518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4">
              <a:lumMod val="75000"/>
            </a:schemeClr>
          </a:solidFill>
          <a:ln w="19050">
            <a:solidFill>
              <a:schemeClr val="lt1"/>
            </a:solidFill>
          </a:ln>
          <a:effectLst/>
        </c:spPr>
        <c:dLbl>
          <c:idx val="0"/>
          <c:layout>
            <c:manualLayout>
              <c:x val="-6.1111111111111088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'Sheet Design'!$C$9</c:f>
              <c:strCache>
                <c:ptCount val="1"/>
                <c:pt idx="0">
                  <c:v>Total</c:v>
                </c:pt>
              </c:strCache>
            </c:strRef>
          </c:tx>
          <c:spPr>
            <a:solidFill>
              <a:schemeClr val="accent5">
                <a:lumMod val="20000"/>
                <a:lumOff val="80000"/>
              </a:schemeClr>
            </a:solidFill>
          </c:spPr>
          <c:dPt>
            <c:idx val="0"/>
            <c:bubble3D val="0"/>
            <c:spPr>
              <a:solidFill>
                <a:schemeClr val="accent2">
                  <a:lumMod val="75000"/>
                </a:schemeClr>
              </a:solidFill>
              <a:ln w="19050">
                <a:solidFill>
                  <a:schemeClr val="lt1"/>
                </a:solidFill>
              </a:ln>
              <a:effectLst/>
            </c:spPr>
            <c:extLst>
              <c:ext xmlns:c16="http://schemas.microsoft.com/office/drawing/2014/chart" uri="{C3380CC4-5D6E-409C-BE32-E72D297353CC}">
                <c16:uniqueId val="{00000001-C0F1-4F83-B4D4-068F6B3774F1}"/>
              </c:ext>
            </c:extLst>
          </c:dPt>
          <c:dPt>
            <c:idx val="1"/>
            <c:bubble3D val="0"/>
            <c:spPr>
              <a:solidFill>
                <a:schemeClr val="accent5">
                  <a:lumMod val="20000"/>
                  <a:lumOff val="80000"/>
                </a:schemeClr>
              </a:solidFill>
              <a:ln w="19050">
                <a:solidFill>
                  <a:schemeClr val="lt1"/>
                </a:solidFill>
              </a:ln>
              <a:effectLst/>
            </c:spPr>
            <c:extLst>
              <c:ext xmlns:c16="http://schemas.microsoft.com/office/drawing/2014/chart" uri="{C3380CC4-5D6E-409C-BE32-E72D297353CC}">
                <c16:uniqueId val="{00000003-C0F1-4F83-B4D4-068F6B3774F1}"/>
              </c:ext>
            </c:extLst>
          </c:dPt>
          <c:dPt>
            <c:idx val="2"/>
            <c:bubble3D val="0"/>
            <c:spPr>
              <a:solidFill>
                <a:schemeClr val="accent5">
                  <a:lumMod val="20000"/>
                  <a:lumOff val="80000"/>
                </a:schemeClr>
              </a:solidFill>
              <a:ln w="19050">
                <a:solidFill>
                  <a:schemeClr val="lt1"/>
                </a:solidFill>
              </a:ln>
              <a:effectLst/>
            </c:spPr>
            <c:extLst>
              <c:ext xmlns:c16="http://schemas.microsoft.com/office/drawing/2014/chart" uri="{C3380CC4-5D6E-409C-BE32-E72D297353CC}">
                <c16:uniqueId val="{00000005-C0F1-4F83-B4D4-068F6B3774F1}"/>
              </c:ext>
            </c:extLst>
          </c:dPt>
          <c:dPt>
            <c:idx val="3"/>
            <c:bubble3D val="0"/>
            <c:spPr>
              <a:solidFill>
                <a:schemeClr val="accent5">
                  <a:lumMod val="20000"/>
                  <a:lumOff val="80000"/>
                </a:schemeClr>
              </a:solidFill>
              <a:ln w="19050">
                <a:solidFill>
                  <a:schemeClr val="lt1"/>
                </a:solidFill>
              </a:ln>
              <a:effectLst/>
            </c:spPr>
            <c:extLst>
              <c:ext xmlns:c16="http://schemas.microsoft.com/office/drawing/2014/chart" uri="{C3380CC4-5D6E-409C-BE32-E72D297353CC}">
                <c16:uniqueId val="{00000007-C0F1-4F83-B4D4-068F6B3774F1}"/>
              </c:ext>
            </c:extLst>
          </c:dPt>
          <c:dPt>
            <c:idx val="4"/>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9-C0F1-4F83-B4D4-068F6B3774F1}"/>
              </c:ext>
            </c:extLst>
          </c:dPt>
          <c:dLbls>
            <c:dLbl>
              <c:idx val="0"/>
              <c:layout>
                <c:manualLayout>
                  <c:x val="5.2777777777777778E-2"/>
                  <c:y val="-3.7037037037037035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C0F1-4F83-B4D4-068F6B3774F1}"/>
                </c:ext>
              </c:extLst>
            </c:dLbl>
            <c:dLbl>
              <c:idx val="1"/>
              <c:delete val="1"/>
              <c:extLst>
                <c:ext xmlns:c15="http://schemas.microsoft.com/office/drawing/2012/chart" uri="{CE6537A1-D6FC-4f65-9D91-7224C49458BB}"/>
                <c:ext xmlns:c16="http://schemas.microsoft.com/office/drawing/2014/chart" uri="{C3380CC4-5D6E-409C-BE32-E72D297353CC}">
                  <c16:uniqueId val="{00000003-C0F1-4F83-B4D4-068F6B3774F1}"/>
                </c:ext>
              </c:extLst>
            </c:dLbl>
            <c:dLbl>
              <c:idx val="2"/>
              <c:delete val="1"/>
              <c:extLst>
                <c:ext xmlns:c15="http://schemas.microsoft.com/office/drawing/2012/chart" uri="{CE6537A1-D6FC-4f65-9D91-7224C49458BB}"/>
                <c:ext xmlns:c16="http://schemas.microsoft.com/office/drawing/2014/chart" uri="{C3380CC4-5D6E-409C-BE32-E72D297353CC}">
                  <c16:uniqueId val="{00000005-C0F1-4F83-B4D4-068F6B3774F1}"/>
                </c:ext>
              </c:extLst>
            </c:dLbl>
            <c:dLbl>
              <c:idx val="3"/>
              <c:layout>
                <c:manualLayout>
                  <c:x val="5.5555555555555046E-3"/>
                  <c:y val="6.018518518518518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C0F1-4F83-B4D4-068F6B3774F1}"/>
                </c:ext>
              </c:extLst>
            </c:dLbl>
            <c:dLbl>
              <c:idx val="4"/>
              <c:layout>
                <c:manualLayout>
                  <c:x val="-6.1111111111111088E-2"/>
                  <c:y val="-3.7037037037037035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C0F1-4F83-B4D4-068F6B3774F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 Design'!$B$10:$B$15</c:f>
              <c:strCache>
                <c:ptCount val="5"/>
                <c:pt idx="0">
                  <c:v>MORTGAGE</c:v>
                </c:pt>
                <c:pt idx="1">
                  <c:v>NONE</c:v>
                </c:pt>
                <c:pt idx="2">
                  <c:v>OTHER</c:v>
                </c:pt>
                <c:pt idx="3">
                  <c:v>OWN</c:v>
                </c:pt>
                <c:pt idx="4">
                  <c:v>RENT</c:v>
                </c:pt>
              </c:strCache>
            </c:strRef>
          </c:cat>
          <c:val>
            <c:numRef>
              <c:f>'Sheet Design'!$C$10:$C$15</c:f>
              <c:numCache>
                <c:formatCode>0</c:formatCode>
                <c:ptCount val="5"/>
                <c:pt idx="0">
                  <c:v>17198</c:v>
                </c:pt>
                <c:pt idx="1">
                  <c:v>3</c:v>
                </c:pt>
                <c:pt idx="2">
                  <c:v>98</c:v>
                </c:pt>
                <c:pt idx="3">
                  <c:v>2838</c:v>
                </c:pt>
                <c:pt idx="4">
                  <c:v>18439</c:v>
                </c:pt>
              </c:numCache>
            </c:numRef>
          </c:val>
          <c:extLst>
            <c:ext xmlns:c16="http://schemas.microsoft.com/office/drawing/2014/chart" uri="{C3380CC4-5D6E-409C-BE32-E72D297353CC}">
              <c16:uniqueId val="{0000000A-C0F1-4F83-B4D4-068F6B3774F1}"/>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layout>
        <c:manualLayout>
          <c:xMode val="edge"/>
          <c:yMode val="edge"/>
          <c:x val="0.25030817105785741"/>
          <c:y val="0.83684161280412106"/>
          <c:w val="0.49938365788428518"/>
          <c:h val="7.894789190113113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Design!PivotTable20</c:name>
    <c:fmtId val="30"/>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no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 Design'!$D$226</c:f>
              <c:strCache>
                <c:ptCount val="1"/>
                <c:pt idx="0">
                  <c:v>Total</c:v>
                </c:pt>
              </c:strCache>
            </c:strRef>
          </c:tx>
          <c:spPr>
            <a:noFill/>
            <a:ln w="25400" cap="flat" cmpd="sng" algn="ctr">
              <a:solidFill>
                <a:schemeClr val="accent1"/>
              </a:solidFill>
              <a:miter lim="800000"/>
            </a:ln>
            <a:effectLst/>
          </c:spPr>
          <c:invertIfNegative val="0"/>
          <c:cat>
            <c:strRef>
              <c:f>'Sheet Design'!$C$227:$C$276</c:f>
              <c:strCache>
                <c:ptCount val="50"/>
                <c:pt idx="0">
                  <c:v>CA</c:v>
                </c:pt>
                <c:pt idx="1">
                  <c:v>NY</c:v>
                </c:pt>
                <c:pt idx="2">
                  <c:v>TX</c:v>
                </c:pt>
                <c:pt idx="3">
                  <c:v>FL</c:v>
                </c:pt>
                <c:pt idx="4">
                  <c:v>NJ</c:v>
                </c:pt>
                <c:pt idx="5">
                  <c:v>IL</c:v>
                </c:pt>
                <c:pt idx="6">
                  <c:v>VA</c:v>
                </c:pt>
                <c:pt idx="7">
                  <c:v>PA</c:v>
                </c:pt>
                <c:pt idx="8">
                  <c:v>GA</c:v>
                </c:pt>
                <c:pt idx="9">
                  <c:v>MA</c:v>
                </c:pt>
                <c:pt idx="10">
                  <c:v>OH</c:v>
                </c:pt>
                <c:pt idx="11">
                  <c:v>MD</c:v>
                </c:pt>
                <c:pt idx="12">
                  <c:v>AZ</c:v>
                </c:pt>
                <c:pt idx="13">
                  <c:v>CO</c:v>
                </c:pt>
                <c:pt idx="14">
                  <c:v>WA</c:v>
                </c:pt>
                <c:pt idx="15">
                  <c:v>NC</c:v>
                </c:pt>
                <c:pt idx="16">
                  <c:v>CT</c:v>
                </c:pt>
                <c:pt idx="17">
                  <c:v>MI</c:v>
                </c:pt>
                <c:pt idx="18">
                  <c:v>MO</c:v>
                </c:pt>
                <c:pt idx="19">
                  <c:v>MN</c:v>
                </c:pt>
                <c:pt idx="20">
                  <c:v>NV</c:v>
                </c:pt>
                <c:pt idx="21">
                  <c:v>SC</c:v>
                </c:pt>
                <c:pt idx="22">
                  <c:v>WI</c:v>
                </c:pt>
                <c:pt idx="23">
                  <c:v>AL</c:v>
                </c:pt>
                <c:pt idx="24">
                  <c:v>OR</c:v>
                </c:pt>
                <c:pt idx="25">
                  <c:v>LA</c:v>
                </c:pt>
                <c:pt idx="26">
                  <c:v>KY</c:v>
                </c:pt>
                <c:pt idx="27">
                  <c:v>OK</c:v>
                </c:pt>
                <c:pt idx="28">
                  <c:v>KS</c:v>
                </c:pt>
                <c:pt idx="29">
                  <c:v>UT</c:v>
                </c:pt>
                <c:pt idx="30">
                  <c:v>DC</c:v>
                </c:pt>
                <c:pt idx="31">
                  <c:v>AR</c:v>
                </c:pt>
                <c:pt idx="32">
                  <c:v>NH</c:v>
                </c:pt>
                <c:pt idx="33">
                  <c:v>NM</c:v>
                </c:pt>
                <c:pt idx="34">
                  <c:v>RI</c:v>
                </c:pt>
                <c:pt idx="35">
                  <c:v>HI</c:v>
                </c:pt>
                <c:pt idx="36">
                  <c:v>WV</c:v>
                </c:pt>
                <c:pt idx="37">
                  <c:v>DE</c:v>
                </c:pt>
                <c:pt idx="38">
                  <c:v>AK</c:v>
                </c:pt>
                <c:pt idx="39">
                  <c:v>WY</c:v>
                </c:pt>
                <c:pt idx="40">
                  <c:v>MT</c:v>
                </c:pt>
                <c:pt idx="41">
                  <c:v>SD</c:v>
                </c:pt>
                <c:pt idx="42">
                  <c:v>VT</c:v>
                </c:pt>
                <c:pt idx="43">
                  <c:v>TN</c:v>
                </c:pt>
                <c:pt idx="44">
                  <c:v>MS</c:v>
                </c:pt>
                <c:pt idx="45">
                  <c:v>IN</c:v>
                </c:pt>
                <c:pt idx="46">
                  <c:v>ID</c:v>
                </c:pt>
                <c:pt idx="47">
                  <c:v>IA</c:v>
                </c:pt>
                <c:pt idx="48">
                  <c:v>NE</c:v>
                </c:pt>
                <c:pt idx="49">
                  <c:v>ME</c:v>
                </c:pt>
              </c:strCache>
            </c:strRef>
          </c:cat>
          <c:val>
            <c:numRef>
              <c:f>'Sheet Design'!$D$227:$D$276</c:f>
              <c:numCache>
                <c:formatCode>\$0.0,,"M"</c:formatCode>
                <c:ptCount val="50"/>
                <c:pt idx="0">
                  <c:v>78484125</c:v>
                </c:pt>
                <c:pt idx="1">
                  <c:v>42077050</c:v>
                </c:pt>
                <c:pt idx="2">
                  <c:v>31236650</c:v>
                </c:pt>
                <c:pt idx="3">
                  <c:v>30046125</c:v>
                </c:pt>
                <c:pt idx="4">
                  <c:v>21657475</c:v>
                </c:pt>
                <c:pt idx="5">
                  <c:v>17124225</c:v>
                </c:pt>
                <c:pt idx="6">
                  <c:v>15982650</c:v>
                </c:pt>
                <c:pt idx="7">
                  <c:v>15826525</c:v>
                </c:pt>
                <c:pt idx="8">
                  <c:v>15480325</c:v>
                </c:pt>
                <c:pt idx="9">
                  <c:v>15051000</c:v>
                </c:pt>
                <c:pt idx="10">
                  <c:v>12991375</c:v>
                </c:pt>
                <c:pt idx="11">
                  <c:v>11911400</c:v>
                </c:pt>
                <c:pt idx="12">
                  <c:v>9206000</c:v>
                </c:pt>
                <c:pt idx="13">
                  <c:v>8976000</c:v>
                </c:pt>
                <c:pt idx="14">
                  <c:v>8855525</c:v>
                </c:pt>
                <c:pt idx="15">
                  <c:v>8787575</c:v>
                </c:pt>
                <c:pt idx="16">
                  <c:v>8435575</c:v>
                </c:pt>
                <c:pt idx="17">
                  <c:v>7829900</c:v>
                </c:pt>
                <c:pt idx="18">
                  <c:v>7151175</c:v>
                </c:pt>
                <c:pt idx="19">
                  <c:v>6302600</c:v>
                </c:pt>
                <c:pt idx="20">
                  <c:v>5307375</c:v>
                </c:pt>
                <c:pt idx="21">
                  <c:v>5080475</c:v>
                </c:pt>
                <c:pt idx="22">
                  <c:v>5070450</c:v>
                </c:pt>
                <c:pt idx="23">
                  <c:v>4949225</c:v>
                </c:pt>
                <c:pt idx="24">
                  <c:v>4720150</c:v>
                </c:pt>
                <c:pt idx="25">
                  <c:v>4498900</c:v>
                </c:pt>
                <c:pt idx="26">
                  <c:v>3504100</c:v>
                </c:pt>
                <c:pt idx="27">
                  <c:v>3365725</c:v>
                </c:pt>
                <c:pt idx="28">
                  <c:v>2872325</c:v>
                </c:pt>
                <c:pt idx="29">
                  <c:v>2849225</c:v>
                </c:pt>
                <c:pt idx="30">
                  <c:v>2652350</c:v>
                </c:pt>
                <c:pt idx="31">
                  <c:v>2529700</c:v>
                </c:pt>
                <c:pt idx="32">
                  <c:v>1917900</c:v>
                </c:pt>
                <c:pt idx="33">
                  <c:v>1916775</c:v>
                </c:pt>
                <c:pt idx="34">
                  <c:v>1883025</c:v>
                </c:pt>
                <c:pt idx="35">
                  <c:v>1850525</c:v>
                </c:pt>
                <c:pt idx="36">
                  <c:v>1830525</c:v>
                </c:pt>
                <c:pt idx="37">
                  <c:v>1138100</c:v>
                </c:pt>
                <c:pt idx="38">
                  <c:v>1031800</c:v>
                </c:pt>
                <c:pt idx="39">
                  <c:v>890750</c:v>
                </c:pt>
                <c:pt idx="40">
                  <c:v>829525</c:v>
                </c:pt>
                <c:pt idx="41">
                  <c:v>606150</c:v>
                </c:pt>
                <c:pt idx="42">
                  <c:v>504100</c:v>
                </c:pt>
                <c:pt idx="43">
                  <c:v>162175</c:v>
                </c:pt>
                <c:pt idx="44">
                  <c:v>139125</c:v>
                </c:pt>
                <c:pt idx="45">
                  <c:v>86225</c:v>
                </c:pt>
                <c:pt idx="46">
                  <c:v>59750</c:v>
                </c:pt>
                <c:pt idx="47">
                  <c:v>56450</c:v>
                </c:pt>
                <c:pt idx="48">
                  <c:v>31700</c:v>
                </c:pt>
                <c:pt idx="49">
                  <c:v>9200</c:v>
                </c:pt>
              </c:numCache>
            </c:numRef>
          </c:val>
          <c:extLst>
            <c:ext xmlns:c16="http://schemas.microsoft.com/office/drawing/2014/chart" uri="{C3380CC4-5D6E-409C-BE32-E72D297353CC}">
              <c16:uniqueId val="{00000000-F3F6-411F-AFAC-7966A77203F6}"/>
            </c:ext>
          </c:extLst>
        </c:ser>
        <c:dLbls>
          <c:showLegendKey val="0"/>
          <c:showVal val="0"/>
          <c:showCatName val="0"/>
          <c:showSerName val="0"/>
          <c:showPercent val="0"/>
          <c:showBubbleSize val="0"/>
        </c:dLbls>
        <c:gapWidth val="164"/>
        <c:overlap val="-35"/>
        <c:axId val="387659471"/>
        <c:axId val="387659951"/>
      </c:barChart>
      <c:catAx>
        <c:axId val="3876594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387659951"/>
        <c:crosses val="autoZero"/>
        <c:auto val="1"/>
        <c:lblAlgn val="ctr"/>
        <c:lblOffset val="100"/>
        <c:noMultiLvlLbl val="0"/>
      </c:catAx>
      <c:valAx>
        <c:axId val="387659951"/>
        <c:scaling>
          <c:orientation val="minMax"/>
        </c:scaling>
        <c:delete val="0"/>
        <c:axPos val="l"/>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387659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Design!PivotTable5</c:name>
    <c:fmtId val="1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40000"/>
              <a:lumOff val="60000"/>
            </a:schemeClr>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 Design'!$C$39</c:f>
              <c:strCache>
                <c:ptCount val="1"/>
                <c:pt idx="0">
                  <c:v>Total</c:v>
                </c:pt>
              </c:strCache>
            </c:strRef>
          </c:tx>
          <c:spPr>
            <a:solidFill>
              <a:schemeClr val="accent1">
                <a:lumMod val="40000"/>
                <a:lumOff val="60000"/>
              </a:schemeClr>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'Sheet Design'!$B$40:$B$44</c:f>
              <c:strCache>
                <c:ptCount val="5"/>
                <c:pt idx="0">
                  <c:v>CA</c:v>
                </c:pt>
                <c:pt idx="1">
                  <c:v>NY</c:v>
                </c:pt>
                <c:pt idx="2">
                  <c:v>FL</c:v>
                </c:pt>
                <c:pt idx="3">
                  <c:v>TX</c:v>
                </c:pt>
                <c:pt idx="4">
                  <c:v>NJ</c:v>
                </c:pt>
              </c:strCache>
            </c:strRef>
          </c:cat>
          <c:val>
            <c:numRef>
              <c:f>'Sheet Design'!$C$40:$C$44</c:f>
              <c:numCache>
                <c:formatCode>0</c:formatCode>
                <c:ptCount val="5"/>
                <c:pt idx="0">
                  <c:v>6894</c:v>
                </c:pt>
                <c:pt idx="1">
                  <c:v>3701</c:v>
                </c:pt>
                <c:pt idx="2">
                  <c:v>2773</c:v>
                </c:pt>
                <c:pt idx="3">
                  <c:v>2664</c:v>
                </c:pt>
                <c:pt idx="4">
                  <c:v>1822</c:v>
                </c:pt>
              </c:numCache>
            </c:numRef>
          </c:val>
          <c:extLst>
            <c:ext xmlns:c16="http://schemas.microsoft.com/office/drawing/2014/chart" uri="{C3380CC4-5D6E-409C-BE32-E72D297353CC}">
              <c16:uniqueId val="{00000000-69C1-4348-938A-4306B05B8329}"/>
            </c:ext>
          </c:extLst>
        </c:ser>
        <c:dLbls>
          <c:dLblPos val="outEnd"/>
          <c:showLegendKey val="0"/>
          <c:showVal val="1"/>
          <c:showCatName val="0"/>
          <c:showSerName val="0"/>
          <c:showPercent val="0"/>
          <c:showBubbleSize val="0"/>
        </c:dLbls>
        <c:gapWidth val="444"/>
        <c:overlap val="-90"/>
        <c:axId val="890047792"/>
        <c:axId val="77174976"/>
      </c:barChart>
      <c:catAx>
        <c:axId val="8900477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95000"/>
                    <a:lumOff val="5000"/>
                  </a:schemeClr>
                </a:solidFill>
                <a:latin typeface="+mn-lt"/>
                <a:ea typeface="+mn-ea"/>
                <a:cs typeface="+mn-cs"/>
              </a:defRPr>
            </a:pPr>
            <a:endParaRPr lang="en-US"/>
          </a:p>
        </c:txPr>
        <c:crossAx val="77174976"/>
        <c:crosses val="autoZero"/>
        <c:auto val="1"/>
        <c:lblAlgn val="ctr"/>
        <c:lblOffset val="100"/>
        <c:noMultiLvlLbl val="0"/>
      </c:catAx>
      <c:valAx>
        <c:axId val="77174976"/>
        <c:scaling>
          <c:orientation val="minMax"/>
        </c:scaling>
        <c:delete val="1"/>
        <c:axPos val="l"/>
        <c:numFmt formatCode="0" sourceLinked="1"/>
        <c:majorTickMark val="none"/>
        <c:minorTickMark val="none"/>
        <c:tickLblPos val="nextTo"/>
        <c:crossAx val="8900477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Design!PivotTable6</c:name>
    <c:fmtId val="15"/>
  </c:pivotSource>
  <c:chart>
    <c:title>
      <c:tx>
        <c:rich>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r>
              <a:rPr lang="en-IN">
                <a:solidFill>
                  <a:srgbClr val="843C0C"/>
                </a:solidFill>
              </a:rPr>
              <a:t>LOAN</a:t>
            </a:r>
            <a:r>
              <a:rPr lang="en-IN" baseline="0">
                <a:solidFill>
                  <a:srgbClr val="843C0C"/>
                </a:solidFill>
              </a:rPr>
              <a:t> STATUS BASED ON THE GRADES</a:t>
            </a:r>
            <a:endParaRPr lang="en-IN">
              <a:solidFill>
                <a:srgbClr val="843C0C"/>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 Design'!$J$40:$J$41</c:f>
              <c:strCache>
                <c:ptCount val="1"/>
                <c:pt idx="0">
                  <c:v>Charged Off</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Design'!$I$42:$I$48</c:f>
              <c:strCache>
                <c:ptCount val="7"/>
                <c:pt idx="0">
                  <c:v>G</c:v>
                </c:pt>
                <c:pt idx="1">
                  <c:v>F</c:v>
                </c:pt>
                <c:pt idx="2">
                  <c:v>E</c:v>
                </c:pt>
                <c:pt idx="3">
                  <c:v>D</c:v>
                </c:pt>
                <c:pt idx="4">
                  <c:v>C</c:v>
                </c:pt>
                <c:pt idx="5">
                  <c:v>B</c:v>
                </c:pt>
                <c:pt idx="6">
                  <c:v>A</c:v>
                </c:pt>
              </c:strCache>
            </c:strRef>
          </c:cat>
          <c:val>
            <c:numRef>
              <c:f>'Sheet Design'!$J$42:$J$48</c:f>
              <c:numCache>
                <c:formatCode>0</c:formatCode>
                <c:ptCount val="7"/>
                <c:pt idx="0">
                  <c:v>98</c:v>
                </c:pt>
                <c:pt idx="1">
                  <c:v>311</c:v>
                </c:pt>
                <c:pt idx="2">
                  <c:v>691</c:v>
                </c:pt>
                <c:pt idx="3">
                  <c:v>1072</c:v>
                </c:pt>
                <c:pt idx="4">
                  <c:v>1266</c:v>
                </c:pt>
                <c:pt idx="5">
                  <c:v>1343</c:v>
                </c:pt>
                <c:pt idx="6">
                  <c:v>552</c:v>
                </c:pt>
              </c:numCache>
            </c:numRef>
          </c:val>
          <c:extLst>
            <c:ext xmlns:c16="http://schemas.microsoft.com/office/drawing/2014/chart" uri="{C3380CC4-5D6E-409C-BE32-E72D297353CC}">
              <c16:uniqueId val="{00000000-C65C-41D1-953E-71008E9F1F1B}"/>
            </c:ext>
          </c:extLst>
        </c:ser>
        <c:ser>
          <c:idx val="1"/>
          <c:order val="1"/>
          <c:tx>
            <c:strRef>
              <c:f>'Sheet Design'!$K$40:$K$41</c:f>
              <c:strCache>
                <c:ptCount val="1"/>
                <c:pt idx="0">
                  <c:v>Current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Design'!$I$42:$I$48</c:f>
              <c:strCache>
                <c:ptCount val="7"/>
                <c:pt idx="0">
                  <c:v>G</c:v>
                </c:pt>
                <c:pt idx="1">
                  <c:v>F</c:v>
                </c:pt>
                <c:pt idx="2">
                  <c:v>E</c:v>
                </c:pt>
                <c:pt idx="3">
                  <c:v>D</c:v>
                </c:pt>
                <c:pt idx="4">
                  <c:v>C</c:v>
                </c:pt>
                <c:pt idx="5">
                  <c:v>B</c:v>
                </c:pt>
                <c:pt idx="6">
                  <c:v>A</c:v>
                </c:pt>
              </c:strCache>
            </c:strRef>
          </c:cat>
          <c:val>
            <c:numRef>
              <c:f>'Sheet Design'!$K$42:$K$48</c:f>
              <c:numCache>
                <c:formatCode>0</c:formatCode>
                <c:ptCount val="7"/>
                <c:pt idx="0">
                  <c:v>17</c:v>
                </c:pt>
                <c:pt idx="1">
                  <c:v>71</c:v>
                </c:pt>
                <c:pt idx="2">
                  <c:v>175</c:v>
                </c:pt>
                <c:pt idx="3">
                  <c:v>216</c:v>
                </c:pt>
                <c:pt idx="4">
                  <c:v>257</c:v>
                </c:pt>
                <c:pt idx="5">
                  <c:v>327</c:v>
                </c:pt>
                <c:pt idx="6">
                  <c:v>35</c:v>
                </c:pt>
              </c:numCache>
            </c:numRef>
          </c:val>
          <c:extLst>
            <c:ext xmlns:c16="http://schemas.microsoft.com/office/drawing/2014/chart" uri="{C3380CC4-5D6E-409C-BE32-E72D297353CC}">
              <c16:uniqueId val="{00000004-C65C-41D1-953E-71008E9F1F1B}"/>
            </c:ext>
          </c:extLst>
        </c:ser>
        <c:ser>
          <c:idx val="2"/>
          <c:order val="2"/>
          <c:tx>
            <c:strRef>
              <c:f>'Sheet Design'!$L$40:$L$41</c:f>
              <c:strCache>
                <c:ptCount val="1"/>
                <c:pt idx="0">
                  <c:v>Fully Paid</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Design'!$I$42:$I$48</c:f>
              <c:strCache>
                <c:ptCount val="7"/>
                <c:pt idx="0">
                  <c:v>G</c:v>
                </c:pt>
                <c:pt idx="1">
                  <c:v>F</c:v>
                </c:pt>
                <c:pt idx="2">
                  <c:v>E</c:v>
                </c:pt>
                <c:pt idx="3">
                  <c:v>D</c:v>
                </c:pt>
                <c:pt idx="4">
                  <c:v>C</c:v>
                </c:pt>
                <c:pt idx="5">
                  <c:v>B</c:v>
                </c:pt>
                <c:pt idx="6">
                  <c:v>A</c:v>
                </c:pt>
              </c:strCache>
            </c:strRef>
          </c:cat>
          <c:val>
            <c:numRef>
              <c:f>'Sheet Design'!$L$42:$L$48</c:f>
              <c:numCache>
                <c:formatCode>0</c:formatCode>
                <c:ptCount val="7"/>
                <c:pt idx="0">
                  <c:v>198</c:v>
                </c:pt>
                <c:pt idx="1">
                  <c:v>646</c:v>
                </c:pt>
                <c:pt idx="2">
                  <c:v>1920</c:v>
                </c:pt>
                <c:pt idx="3">
                  <c:v>3894</c:v>
                </c:pt>
                <c:pt idx="4">
                  <c:v>6381</c:v>
                </c:pt>
                <c:pt idx="5">
                  <c:v>10004</c:v>
                </c:pt>
                <c:pt idx="6">
                  <c:v>9102</c:v>
                </c:pt>
              </c:numCache>
            </c:numRef>
          </c:val>
          <c:extLst>
            <c:ext xmlns:c16="http://schemas.microsoft.com/office/drawing/2014/chart" uri="{C3380CC4-5D6E-409C-BE32-E72D297353CC}">
              <c16:uniqueId val="{00000001-39E4-4FFE-86DB-99824AE6ACC7}"/>
            </c:ext>
          </c:extLst>
        </c:ser>
        <c:dLbls>
          <c:dLblPos val="outEnd"/>
          <c:showLegendKey val="0"/>
          <c:showVal val="1"/>
          <c:showCatName val="0"/>
          <c:showSerName val="0"/>
          <c:showPercent val="0"/>
          <c:showBubbleSize val="0"/>
        </c:dLbls>
        <c:gapWidth val="182"/>
        <c:axId val="604810400"/>
        <c:axId val="604811360"/>
      </c:barChart>
      <c:catAx>
        <c:axId val="60481040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4811360"/>
        <c:crosses val="autoZero"/>
        <c:auto val="1"/>
        <c:lblAlgn val="ctr"/>
        <c:lblOffset val="100"/>
        <c:noMultiLvlLbl val="0"/>
      </c:catAx>
      <c:valAx>
        <c:axId val="604811360"/>
        <c:scaling>
          <c:orientation val="minMax"/>
        </c:scaling>
        <c:delete val="1"/>
        <c:axPos val="b"/>
        <c:numFmt formatCode="0" sourceLinked="1"/>
        <c:majorTickMark val="none"/>
        <c:minorTickMark val="none"/>
        <c:tickLblPos val="nextTo"/>
        <c:crossAx val="6048104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Design!PivotTable7</c:name>
    <c:fmtId val="19"/>
  </c:pivotSource>
  <c:chart>
    <c:title>
      <c:tx>
        <c:rich>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r>
              <a:rPr lang="en-IN">
                <a:solidFill>
                  <a:srgbClr val="843C0C"/>
                </a:solidFill>
              </a:rPr>
              <a:t>AVG</a:t>
            </a:r>
            <a:r>
              <a:rPr lang="en-IN" baseline="0">
                <a:solidFill>
                  <a:srgbClr val="843C0C"/>
                </a:solidFill>
              </a:rPr>
              <a:t> DTI &amp; INTEREST RATE BASED ON GRADES</a:t>
            </a:r>
            <a:endParaRPr lang="en-IN">
              <a:solidFill>
                <a:srgbClr val="843C0C"/>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 Design'!$J$55</c:f>
              <c:strCache>
                <c:ptCount val="1"/>
                <c:pt idx="0">
                  <c:v>Avg DTI</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Design'!$I$56:$I$62</c:f>
              <c:strCache>
                <c:ptCount val="7"/>
                <c:pt idx="0">
                  <c:v>A</c:v>
                </c:pt>
                <c:pt idx="1">
                  <c:v>B</c:v>
                </c:pt>
                <c:pt idx="2">
                  <c:v>C</c:v>
                </c:pt>
                <c:pt idx="3">
                  <c:v>D</c:v>
                </c:pt>
                <c:pt idx="4">
                  <c:v>E</c:v>
                </c:pt>
                <c:pt idx="5">
                  <c:v>F</c:v>
                </c:pt>
                <c:pt idx="6">
                  <c:v>G</c:v>
                </c:pt>
              </c:strCache>
            </c:strRef>
          </c:cat>
          <c:val>
            <c:numRef>
              <c:f>'Sheet Design'!$J$56:$J$62</c:f>
              <c:numCache>
                <c:formatCode>0.00</c:formatCode>
                <c:ptCount val="7"/>
                <c:pt idx="0">
                  <c:v>0.12038256786046032</c:v>
                </c:pt>
                <c:pt idx="1">
                  <c:v>0.13432090971389413</c:v>
                </c:pt>
                <c:pt idx="2">
                  <c:v>0.1391512398785425</c:v>
                </c:pt>
                <c:pt idx="3">
                  <c:v>0.139807583944423</c:v>
                </c:pt>
                <c:pt idx="4">
                  <c:v>0.14095294328786792</c:v>
                </c:pt>
                <c:pt idx="5">
                  <c:v>0.14173774319066149</c:v>
                </c:pt>
                <c:pt idx="6">
                  <c:v>0.14059424920127794</c:v>
                </c:pt>
              </c:numCache>
            </c:numRef>
          </c:val>
          <c:extLst>
            <c:ext xmlns:c16="http://schemas.microsoft.com/office/drawing/2014/chart" uri="{C3380CC4-5D6E-409C-BE32-E72D297353CC}">
              <c16:uniqueId val="{00000000-DB00-43F7-9840-7572D6B2BBCC}"/>
            </c:ext>
          </c:extLst>
        </c:ser>
        <c:ser>
          <c:idx val="1"/>
          <c:order val="1"/>
          <c:tx>
            <c:strRef>
              <c:f>'Sheet Design'!$K$55</c:f>
              <c:strCache>
                <c:ptCount val="1"/>
                <c:pt idx="0">
                  <c:v>Avg Interest Rate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Design'!$I$56:$I$62</c:f>
              <c:strCache>
                <c:ptCount val="7"/>
                <c:pt idx="0">
                  <c:v>A</c:v>
                </c:pt>
                <c:pt idx="1">
                  <c:v>B</c:v>
                </c:pt>
                <c:pt idx="2">
                  <c:v>C</c:v>
                </c:pt>
                <c:pt idx="3">
                  <c:v>D</c:v>
                </c:pt>
                <c:pt idx="4">
                  <c:v>E</c:v>
                </c:pt>
                <c:pt idx="5">
                  <c:v>F</c:v>
                </c:pt>
                <c:pt idx="6">
                  <c:v>G</c:v>
                </c:pt>
              </c:strCache>
            </c:strRef>
          </c:cat>
          <c:val>
            <c:numRef>
              <c:f>'Sheet Design'!$K$56:$K$62</c:f>
              <c:numCache>
                <c:formatCode>0.00</c:formatCode>
                <c:ptCount val="7"/>
                <c:pt idx="0">
                  <c:v>7.3519713076685186E-2</c:v>
                </c:pt>
                <c:pt idx="1">
                  <c:v>0.11029087716292704</c:v>
                </c:pt>
                <c:pt idx="2">
                  <c:v>0.13546921811740983</c:v>
                </c:pt>
                <c:pt idx="3">
                  <c:v>0.15710540331918008</c:v>
                </c:pt>
                <c:pt idx="4">
                  <c:v>0.17705229720028576</c:v>
                </c:pt>
                <c:pt idx="5">
                  <c:v>0.19744007782101203</c:v>
                </c:pt>
                <c:pt idx="6">
                  <c:v>0.21400638977635766</c:v>
                </c:pt>
              </c:numCache>
            </c:numRef>
          </c:val>
          <c:extLst>
            <c:ext xmlns:c16="http://schemas.microsoft.com/office/drawing/2014/chart" uri="{C3380CC4-5D6E-409C-BE32-E72D297353CC}">
              <c16:uniqueId val="{00000001-DB00-43F7-9840-7572D6B2BBCC}"/>
            </c:ext>
          </c:extLst>
        </c:ser>
        <c:dLbls>
          <c:dLblPos val="outEnd"/>
          <c:showLegendKey val="0"/>
          <c:showVal val="1"/>
          <c:showCatName val="0"/>
          <c:showSerName val="0"/>
          <c:showPercent val="0"/>
          <c:showBubbleSize val="0"/>
        </c:dLbls>
        <c:gapWidth val="219"/>
        <c:overlap val="-27"/>
        <c:axId val="65043887"/>
        <c:axId val="459617759"/>
      </c:barChart>
      <c:catAx>
        <c:axId val="65043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9617759"/>
        <c:crosses val="autoZero"/>
        <c:auto val="1"/>
        <c:lblAlgn val="ctr"/>
        <c:lblOffset val="100"/>
        <c:noMultiLvlLbl val="0"/>
      </c:catAx>
      <c:valAx>
        <c:axId val="459617759"/>
        <c:scaling>
          <c:orientation val="minMax"/>
        </c:scaling>
        <c:delete val="1"/>
        <c:axPos val="l"/>
        <c:numFmt formatCode="0.00" sourceLinked="1"/>
        <c:majorTickMark val="none"/>
        <c:minorTickMark val="none"/>
        <c:tickLblPos val="nextTo"/>
        <c:crossAx val="6504388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Design!PivotTable8</c:name>
    <c:fmtId val="15"/>
  </c:pivotSource>
  <c:chart>
    <c:title>
      <c:tx>
        <c:rich>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r>
              <a:rPr lang="en-IN">
                <a:solidFill>
                  <a:srgbClr val="843C0C"/>
                </a:solidFill>
              </a:rPr>
              <a:t>FUNDED</a:t>
            </a:r>
            <a:r>
              <a:rPr lang="en-IN" baseline="0">
                <a:solidFill>
                  <a:srgbClr val="843C0C"/>
                </a:solidFill>
              </a:rPr>
              <a:t> LOANS - BORROWER CREDITS</a:t>
            </a:r>
            <a:endParaRPr lang="en-IN">
              <a:solidFill>
                <a:srgbClr val="843C0C"/>
              </a:solidFill>
            </a:endParaRPr>
          </a:p>
        </c:rich>
      </c:tx>
      <c:layout>
        <c:manualLayout>
          <c:xMode val="edge"/>
          <c:yMode val="edge"/>
          <c:x val="0.11136174074663684"/>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endParaRPr lang="en-IN"/>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'Sheet Design'!$C$56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22E-4047-8EDB-21FC2FA88B6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22E-4047-8EDB-21FC2FA88B6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 Design'!$B$57:$B$58</c:f>
              <c:strCache>
                <c:ptCount val="2"/>
                <c:pt idx="0">
                  <c:v>Experienced</c:v>
                </c:pt>
                <c:pt idx="1">
                  <c:v>New/Thin File</c:v>
                </c:pt>
              </c:strCache>
            </c:strRef>
          </c:cat>
          <c:val>
            <c:numRef>
              <c:f>'Sheet Design'!$C$57:$C$58</c:f>
              <c:numCache>
                <c:formatCode>0</c:formatCode>
                <c:ptCount val="2"/>
                <c:pt idx="0">
                  <c:v>33998</c:v>
                </c:pt>
                <c:pt idx="1">
                  <c:v>4578</c:v>
                </c:pt>
              </c:numCache>
            </c:numRef>
          </c:val>
          <c:extLst>
            <c:ext xmlns:c16="http://schemas.microsoft.com/office/drawing/2014/chart" uri="{C3380CC4-5D6E-409C-BE32-E72D297353CC}">
              <c16:uniqueId val="{00000004-522E-4047-8EDB-21FC2FA88B6F}"/>
            </c:ext>
          </c:extLst>
        </c:ser>
        <c:dLbls>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Design!PivotTable10</c:name>
    <c:fmtId val="19"/>
  </c:pivotSource>
  <c:chart>
    <c:title>
      <c:tx>
        <c:rich>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r>
              <a:rPr lang="en-IN">
                <a:solidFill>
                  <a:srgbClr val="843C0C"/>
                </a:solidFill>
              </a:rPr>
              <a:t>LOAN</a:t>
            </a:r>
            <a:r>
              <a:rPr lang="en-IN" baseline="0">
                <a:solidFill>
                  <a:srgbClr val="843C0C"/>
                </a:solidFill>
              </a:rPr>
              <a:t> STATUS OVER TERMS</a:t>
            </a:r>
            <a:endParaRPr lang="en-IN">
              <a:solidFill>
                <a:srgbClr val="843C0C"/>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 Design'!$C$70:$C$71</c:f>
              <c:strCache>
                <c:ptCount val="1"/>
                <c:pt idx="0">
                  <c:v>Charged Off</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Design'!$B$72:$B$73</c:f>
              <c:strCache>
                <c:ptCount val="2"/>
                <c:pt idx="0">
                  <c:v>36</c:v>
                </c:pt>
                <c:pt idx="1">
                  <c:v>60</c:v>
                </c:pt>
              </c:strCache>
            </c:strRef>
          </c:cat>
          <c:val>
            <c:numRef>
              <c:f>'Sheet Design'!$C$72:$C$73</c:f>
              <c:numCache>
                <c:formatCode>0</c:formatCode>
                <c:ptCount val="2"/>
                <c:pt idx="0">
                  <c:v>3023</c:v>
                </c:pt>
                <c:pt idx="1">
                  <c:v>2310</c:v>
                </c:pt>
              </c:numCache>
            </c:numRef>
          </c:val>
          <c:extLst>
            <c:ext xmlns:c16="http://schemas.microsoft.com/office/drawing/2014/chart" uri="{C3380CC4-5D6E-409C-BE32-E72D297353CC}">
              <c16:uniqueId val="{00000000-931F-4012-8089-8EAAD059F248}"/>
            </c:ext>
          </c:extLst>
        </c:ser>
        <c:ser>
          <c:idx val="1"/>
          <c:order val="1"/>
          <c:tx>
            <c:strRef>
              <c:f>'Sheet Design'!$D$70:$D$71</c:f>
              <c:strCache>
                <c:ptCount val="1"/>
                <c:pt idx="0">
                  <c:v>Current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Design'!$B$72:$B$73</c:f>
              <c:strCache>
                <c:ptCount val="2"/>
                <c:pt idx="0">
                  <c:v>36</c:v>
                </c:pt>
                <c:pt idx="1">
                  <c:v>60</c:v>
                </c:pt>
              </c:strCache>
            </c:strRef>
          </c:cat>
          <c:val>
            <c:numRef>
              <c:f>'Sheet Design'!$D$72:$D$73</c:f>
              <c:numCache>
                <c:formatCode>0</c:formatCode>
                <c:ptCount val="2"/>
                <c:pt idx="1">
                  <c:v>1098</c:v>
                </c:pt>
              </c:numCache>
            </c:numRef>
          </c:val>
          <c:extLst>
            <c:ext xmlns:c16="http://schemas.microsoft.com/office/drawing/2014/chart" uri="{C3380CC4-5D6E-409C-BE32-E72D297353CC}">
              <c16:uniqueId val="{00000006-931F-4012-8089-8EAAD059F248}"/>
            </c:ext>
          </c:extLst>
        </c:ser>
        <c:ser>
          <c:idx val="2"/>
          <c:order val="2"/>
          <c:tx>
            <c:strRef>
              <c:f>'Sheet Design'!$E$70:$E$71</c:f>
              <c:strCache>
                <c:ptCount val="1"/>
                <c:pt idx="0">
                  <c:v>Fully Paid</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 Design'!$B$72:$B$73</c:f>
              <c:strCache>
                <c:ptCount val="2"/>
                <c:pt idx="0">
                  <c:v>36</c:v>
                </c:pt>
                <c:pt idx="1">
                  <c:v>60</c:v>
                </c:pt>
              </c:strCache>
            </c:strRef>
          </c:cat>
          <c:val>
            <c:numRef>
              <c:f>'Sheet Design'!$E$72:$E$73</c:f>
              <c:numCache>
                <c:formatCode>0</c:formatCode>
                <c:ptCount val="2"/>
                <c:pt idx="0">
                  <c:v>25214</c:v>
                </c:pt>
                <c:pt idx="1">
                  <c:v>6931</c:v>
                </c:pt>
              </c:numCache>
            </c:numRef>
          </c:val>
          <c:extLst>
            <c:ext xmlns:c16="http://schemas.microsoft.com/office/drawing/2014/chart" uri="{C3380CC4-5D6E-409C-BE32-E72D297353CC}">
              <c16:uniqueId val="{00000001-54DA-4098-96ED-DC5D8952F9D9}"/>
            </c:ext>
          </c:extLst>
        </c:ser>
        <c:dLbls>
          <c:dLblPos val="ctr"/>
          <c:showLegendKey val="0"/>
          <c:showVal val="1"/>
          <c:showCatName val="0"/>
          <c:showSerName val="0"/>
          <c:showPercent val="0"/>
          <c:showBubbleSize val="0"/>
        </c:dLbls>
        <c:gapWidth val="150"/>
        <c:overlap val="100"/>
        <c:axId val="213885200"/>
        <c:axId val="213888560"/>
      </c:barChart>
      <c:catAx>
        <c:axId val="21388520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Terms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888560"/>
        <c:crosses val="autoZero"/>
        <c:auto val="1"/>
        <c:lblAlgn val="ctr"/>
        <c:lblOffset val="100"/>
        <c:noMultiLvlLbl val="0"/>
      </c:catAx>
      <c:valAx>
        <c:axId val="213888560"/>
        <c:scaling>
          <c:orientation val="minMax"/>
        </c:scaling>
        <c:delete val="1"/>
        <c:axPos val="l"/>
        <c:numFmt formatCode="0" sourceLinked="1"/>
        <c:majorTickMark val="none"/>
        <c:minorTickMark val="none"/>
        <c:tickLblPos val="nextTo"/>
        <c:crossAx val="2138852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[Bank_Loan_Analysis.xlsx]Sheet Design!PivotTable11</c:name>
    <c:fmtId val="23"/>
  </c:pivotSource>
  <c:chart>
    <c:title>
      <c:tx>
        <c:rich>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r>
              <a:rPr lang="en-IN">
                <a:solidFill>
                  <a:srgbClr val="843C0C"/>
                </a:solidFill>
              </a:rPr>
              <a:t>FUNDED</a:t>
            </a:r>
            <a:r>
              <a:rPr lang="en-IN" baseline="0">
                <a:solidFill>
                  <a:srgbClr val="843C0C"/>
                </a:solidFill>
              </a:rPr>
              <a:t> LOANS TREND BASED ON REPAYMENT EFFICIENCY</a:t>
            </a:r>
            <a:endParaRPr lang="en-IN">
              <a:solidFill>
                <a:srgbClr val="843C0C"/>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843C0C"/>
              </a:solidFill>
              <a:latin typeface="+mn-lt"/>
              <a:ea typeface="+mn-ea"/>
              <a:cs typeface="+mn-cs"/>
            </a:defRPr>
          </a:pPr>
          <a:endParaRPr lang="en-IN"/>
        </a:p>
      </c:txPr>
    </c:title>
    <c:autoTitleDeleted val="0"/>
    <c:pivotFmts>
      <c:pivotFmt>
        <c:idx val="0"/>
        <c:spPr>
          <a:solidFill>
            <a:schemeClr val="accent1"/>
          </a:solidFill>
          <a:ln w="28575" cap="rnd">
            <a:solidFill>
              <a:srgbClr val="7030A0"/>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2">
                <a:lumMod val="40000"/>
                <a:lumOff val="60000"/>
              </a:schemeClr>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rgbClr val="002060"/>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002060"/>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2">
                <a:lumMod val="40000"/>
                <a:lumOff val="60000"/>
              </a:schemeClr>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rgbClr val="002060"/>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2">
                <a:lumMod val="75000"/>
              </a:schemeClr>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2">
                <a:lumMod val="40000"/>
                <a:lumOff val="60000"/>
              </a:schemeClr>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 Design'!$H$78:$H$79</c:f>
              <c:strCache>
                <c:ptCount val="1"/>
                <c:pt idx="0">
                  <c:v>Defaulted/Charged Off</c:v>
                </c:pt>
              </c:strCache>
            </c:strRef>
          </c:tx>
          <c:spPr>
            <a:ln w="28575" cap="rnd">
              <a:solidFill>
                <a:srgbClr val="002060"/>
              </a:solidFill>
              <a:round/>
            </a:ln>
            <a:effectLst/>
          </c:spPr>
          <c:marker>
            <c:symbol val="circle"/>
            <c:size val="5"/>
            <c:spPr>
              <a:solidFill>
                <a:schemeClr val="accent1"/>
              </a:solidFill>
              <a:ln w="9525">
                <a:solidFill>
                  <a:schemeClr val="accent1"/>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Design'!$H$80:$H$91</c:f>
              <c:numCache>
                <c:formatCode>0</c:formatCode>
                <c:ptCount val="12"/>
                <c:pt idx="0">
                  <c:v>309</c:v>
                </c:pt>
                <c:pt idx="1">
                  <c:v>264</c:v>
                </c:pt>
                <c:pt idx="2">
                  <c:v>333</c:v>
                </c:pt>
                <c:pt idx="3">
                  <c:v>352</c:v>
                </c:pt>
                <c:pt idx="4">
                  <c:v>439</c:v>
                </c:pt>
                <c:pt idx="5">
                  <c:v>453</c:v>
                </c:pt>
                <c:pt idx="6">
                  <c:v>454</c:v>
                </c:pt>
                <c:pt idx="7">
                  <c:v>452</c:v>
                </c:pt>
                <c:pt idx="8">
                  <c:v>521</c:v>
                </c:pt>
                <c:pt idx="9">
                  <c:v>546</c:v>
                </c:pt>
                <c:pt idx="10">
                  <c:v>561</c:v>
                </c:pt>
                <c:pt idx="11">
                  <c:v>649</c:v>
                </c:pt>
              </c:numCache>
            </c:numRef>
          </c:val>
          <c:smooth val="0"/>
          <c:extLst>
            <c:ext xmlns:c16="http://schemas.microsoft.com/office/drawing/2014/chart" uri="{C3380CC4-5D6E-409C-BE32-E72D297353CC}">
              <c16:uniqueId val="{00000000-B78C-446C-83D8-8B217687908B}"/>
            </c:ext>
          </c:extLst>
        </c:ser>
        <c:ser>
          <c:idx val="1"/>
          <c:order val="1"/>
          <c:tx>
            <c:strRef>
              <c:f>'Sheet Design'!$I$78:$I$79</c:f>
              <c:strCache>
                <c:ptCount val="1"/>
                <c:pt idx="0">
                  <c:v>Early Payoff</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Design'!$I$80:$I$91</c:f>
              <c:numCache>
                <c:formatCode>0</c:formatCode>
                <c:ptCount val="12"/>
                <c:pt idx="0">
                  <c:v>1431</c:v>
                </c:pt>
                <c:pt idx="1">
                  <c:v>1447</c:v>
                </c:pt>
                <c:pt idx="2">
                  <c:v>1771</c:v>
                </c:pt>
                <c:pt idx="3">
                  <c:v>1907</c:v>
                </c:pt>
                <c:pt idx="4">
                  <c:v>1921</c:v>
                </c:pt>
                <c:pt idx="5">
                  <c:v>2145</c:v>
                </c:pt>
                <c:pt idx="6">
                  <c:v>2303</c:v>
                </c:pt>
                <c:pt idx="7">
                  <c:v>2354</c:v>
                </c:pt>
                <c:pt idx="8">
                  <c:v>2363</c:v>
                </c:pt>
                <c:pt idx="9">
                  <c:v>2532</c:v>
                </c:pt>
                <c:pt idx="10">
                  <c:v>2684</c:v>
                </c:pt>
                <c:pt idx="11">
                  <c:v>2774</c:v>
                </c:pt>
              </c:numCache>
            </c:numRef>
          </c:val>
          <c:smooth val="0"/>
          <c:extLst>
            <c:ext xmlns:c16="http://schemas.microsoft.com/office/drawing/2014/chart" uri="{C3380CC4-5D6E-409C-BE32-E72D297353CC}">
              <c16:uniqueId val="{0000000D-B78C-446C-83D8-8B217687908B}"/>
            </c:ext>
          </c:extLst>
        </c:ser>
        <c:ser>
          <c:idx val="2"/>
          <c:order val="2"/>
          <c:tx>
            <c:strRef>
              <c:f>'Sheet Design'!$J$78:$J$79</c:f>
              <c:strCache>
                <c:ptCount val="1"/>
                <c:pt idx="0">
                  <c:v>In Progress</c:v>
                </c:pt>
              </c:strCache>
            </c:strRef>
          </c:tx>
          <c:spPr>
            <a:ln w="28575" cap="rnd">
              <a:solidFill>
                <a:schemeClr val="accent2">
                  <a:lumMod val="75000"/>
                </a:schemeClr>
              </a:solidFill>
              <a:round/>
            </a:ln>
            <a:effectLst/>
          </c:spPr>
          <c:marker>
            <c:symbol val="circle"/>
            <c:size val="5"/>
            <c:spPr>
              <a:solidFill>
                <a:schemeClr val="accent3"/>
              </a:solidFill>
              <a:ln w="9525">
                <a:solidFill>
                  <a:schemeClr val="accent3"/>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Design'!$J$80:$J$91</c:f>
              <c:numCache>
                <c:formatCode>0</c:formatCode>
                <c:ptCount val="12"/>
                <c:pt idx="2">
                  <c:v>1</c:v>
                </c:pt>
                <c:pt idx="3">
                  <c:v>3</c:v>
                </c:pt>
                <c:pt idx="4">
                  <c:v>78</c:v>
                </c:pt>
                <c:pt idx="5">
                  <c:v>96</c:v>
                </c:pt>
                <c:pt idx="6">
                  <c:v>119</c:v>
                </c:pt>
                <c:pt idx="7">
                  <c:v>122</c:v>
                </c:pt>
                <c:pt idx="8">
                  <c:v>148</c:v>
                </c:pt>
                <c:pt idx="9">
                  <c:v>165</c:v>
                </c:pt>
                <c:pt idx="10">
                  <c:v>153</c:v>
                </c:pt>
                <c:pt idx="11">
                  <c:v>213</c:v>
                </c:pt>
              </c:numCache>
            </c:numRef>
          </c:val>
          <c:smooth val="0"/>
          <c:extLst>
            <c:ext xmlns:c16="http://schemas.microsoft.com/office/drawing/2014/chart" uri="{C3380CC4-5D6E-409C-BE32-E72D297353CC}">
              <c16:uniqueId val="{00000001-95AA-4202-BB44-AB98E2A746F7}"/>
            </c:ext>
          </c:extLst>
        </c:ser>
        <c:ser>
          <c:idx val="3"/>
          <c:order val="3"/>
          <c:tx>
            <c:strRef>
              <c:f>'Sheet Design'!$K$78:$K$79</c:f>
              <c:strCache>
                <c:ptCount val="1"/>
                <c:pt idx="0">
                  <c:v>Paid on Schedule</c:v>
                </c:pt>
              </c:strCache>
            </c:strRef>
          </c:tx>
          <c:spPr>
            <a:ln w="28575" cap="rnd">
              <a:solidFill>
                <a:schemeClr val="accent2">
                  <a:lumMod val="40000"/>
                  <a:lumOff val="60000"/>
                </a:schemeClr>
              </a:solidFill>
              <a:round/>
            </a:ln>
            <a:effectLst/>
          </c:spPr>
          <c:marker>
            <c:symbol val="circle"/>
            <c:size val="5"/>
            <c:spPr>
              <a:solidFill>
                <a:schemeClr val="accent4"/>
              </a:solidFill>
              <a:ln w="9525">
                <a:solidFill>
                  <a:schemeClr val="accent4"/>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Design'!$K$80:$K$91</c:f>
              <c:numCache>
                <c:formatCode>0</c:formatCode>
                <c:ptCount val="12"/>
                <c:pt idx="0">
                  <c:v>27</c:v>
                </c:pt>
                <c:pt idx="1">
                  <c:v>30</c:v>
                </c:pt>
                <c:pt idx="2">
                  <c:v>36</c:v>
                </c:pt>
                <c:pt idx="3">
                  <c:v>32</c:v>
                </c:pt>
                <c:pt idx="4">
                  <c:v>28</c:v>
                </c:pt>
                <c:pt idx="5">
                  <c:v>33</c:v>
                </c:pt>
                <c:pt idx="6">
                  <c:v>38</c:v>
                </c:pt>
                <c:pt idx="7">
                  <c:v>28</c:v>
                </c:pt>
                <c:pt idx="8">
                  <c:v>35</c:v>
                </c:pt>
                <c:pt idx="9">
                  <c:v>39</c:v>
                </c:pt>
                <c:pt idx="10">
                  <c:v>51</c:v>
                </c:pt>
                <c:pt idx="11">
                  <c:v>52</c:v>
                </c:pt>
              </c:numCache>
            </c:numRef>
          </c:val>
          <c:smooth val="0"/>
          <c:extLst>
            <c:ext xmlns:c16="http://schemas.microsoft.com/office/drawing/2014/chart" uri="{C3380CC4-5D6E-409C-BE32-E72D297353CC}">
              <c16:uniqueId val="{00000002-95AA-4202-BB44-AB98E2A746F7}"/>
            </c:ext>
          </c:extLst>
        </c:ser>
        <c:ser>
          <c:idx val="4"/>
          <c:order val="4"/>
          <c:tx>
            <c:strRef>
              <c:f>'Sheet Design'!$L$78:$L$79</c:f>
              <c:strCache>
                <c:ptCount val="1"/>
                <c:pt idx="0">
                  <c:v>Paid with Extra/Interest</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'Sheet Design'!$G$80:$G$91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 Design'!$L$80:$L$91</c:f>
              <c:numCache>
                <c:formatCode>0</c:formatCode>
                <c:ptCount val="12"/>
                <c:pt idx="0">
                  <c:v>565</c:v>
                </c:pt>
                <c:pt idx="1">
                  <c:v>538</c:v>
                </c:pt>
                <c:pt idx="2">
                  <c:v>486</c:v>
                </c:pt>
                <c:pt idx="3">
                  <c:v>461</c:v>
                </c:pt>
                <c:pt idx="4">
                  <c:v>445</c:v>
                </c:pt>
                <c:pt idx="5">
                  <c:v>457</c:v>
                </c:pt>
                <c:pt idx="6">
                  <c:v>452</c:v>
                </c:pt>
                <c:pt idx="7">
                  <c:v>485</c:v>
                </c:pt>
                <c:pt idx="8">
                  <c:v>469</c:v>
                </c:pt>
                <c:pt idx="9">
                  <c:v>514</c:v>
                </c:pt>
                <c:pt idx="10">
                  <c:v>586</c:v>
                </c:pt>
                <c:pt idx="11">
                  <c:v>626</c:v>
                </c:pt>
              </c:numCache>
            </c:numRef>
          </c:val>
          <c:smooth val="0"/>
          <c:extLst>
            <c:ext xmlns:c16="http://schemas.microsoft.com/office/drawing/2014/chart" uri="{C3380CC4-5D6E-409C-BE32-E72D297353CC}">
              <c16:uniqueId val="{00000003-95AA-4202-BB44-AB98E2A746F7}"/>
            </c:ext>
          </c:extLst>
        </c:ser>
        <c:dLbls>
          <c:showLegendKey val="0"/>
          <c:showVal val="0"/>
          <c:showCatName val="0"/>
          <c:showSerName val="0"/>
          <c:showPercent val="0"/>
          <c:showBubbleSize val="0"/>
        </c:dLbls>
        <c:marker val="1"/>
        <c:smooth val="0"/>
        <c:axId val="592446495"/>
        <c:axId val="592447455"/>
      </c:lineChart>
      <c:catAx>
        <c:axId val="5924464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2447455"/>
        <c:crosses val="autoZero"/>
        <c:auto val="1"/>
        <c:lblAlgn val="ctr"/>
        <c:lblOffset val="100"/>
        <c:noMultiLvlLbl val="0"/>
      </c:catAx>
      <c:valAx>
        <c:axId val="59244745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244649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Fraudulent % of States</cx:v>
        </cx:txData>
      </cx:tx>
      <cx:txPr>
        <a:bodyPr spcFirstLastPara="1" vertOverflow="ellipsis" horzOverflow="overflow" wrap="square" lIns="0" tIns="0" rIns="0" bIns="0" anchor="ctr" anchorCtr="1"/>
        <a:lstStyle/>
        <a:p>
          <a:pPr algn="ctr" rtl="0">
            <a:defRPr>
              <a:solidFill>
                <a:srgbClr val="843C0C"/>
              </a:solidFill>
            </a:defRPr>
          </a:pPr>
          <a:r>
            <a:rPr lang="en-US" sz="1400" b="0" i="0" u="none" strike="noStrike" baseline="0">
              <a:solidFill>
                <a:srgbClr val="843C0C"/>
              </a:solidFill>
              <a:latin typeface="Calibri" panose="020F0502020204030204"/>
            </a:rPr>
            <a:t>Fraudulent % of States</a:t>
          </a:r>
        </a:p>
      </cx:txPr>
    </cx:title>
    <cx:plotArea>
      <cx:plotAreaRegion>
        <cx:series layoutId="regionMap" uniqueId="{A9EB220B-174C-4DBF-9970-7E67E3F008EC}">
          <cx:tx>
            <cx:txData>
              <cx:f>_xlchart.v5.2</cx:f>
              <cx:v>Fraud %</cx:v>
            </cx:txData>
          </cx:tx>
          <cx:dataId val="0"/>
          <cx:layoutPr>
            <cx:geography cultureLanguage="en-US" cultureRegion="IN" attribution="Powered by Bing">
              <cx:geoCache provider="{E9337A44-BEBE-4D9F-B70C-5C5E7DAFC167}">
                <cx:binary>1H1pbxvHtu1fMfz5tVJzdx2cXCBNipIsS7Yl20n8pUFLSs/z3L/+rhJJR2ordKwrPIAMEMJNFqv2
XrXnXaX/3gz/uUnu1tWrIU2y+j83w6+vg6Yp/vPLL/VNcJeu66M0vKnyOv+rObrJ01/yv/4Kb+5+
ua3WfZj5vzBCxS83wbpq7obX//Nf/Jp/l7/Nb9ZNmGcf2rtqvLqr26Sp93z25Eev1rdpmC3DuqnC
m4b++nrx8fWru6wJm/HjWNz9+vrR569f/TL/le9mfJVgUU17i7GCHklbUsm5JPcv+vpVkmf+9mPL
Zkc2d5hDmdxNerlOMXCRZ9ndTRPetM3ug6dWc7+W9e1tdVfXIOT+fTb40fI31N3kbdYYhvng3a+v
P2Vhc3f76rpZN3f161dhnS82X1jkhoZP1/dE//KY5f/z39kDsGH25AEqc5796KPvQDn/cx8bfg4U
bh9JZnMmlPMYDUceMce2KSN68+K7STegnGNbtDfxuHv67xH5e+QMDkPXAcKxeLePBz8Jh3OktSMl
EexJGaFEHklhO1zN4FjkSV6tb/N9S/knAdmNnMFh6DpAOC6W+3jw83AY8ZD6sXDY6sgmlGmuxZPC
cbGuxmSd3e5bydNo/D1yhoYh6wDR+O18Hw9+Dg0ljqgQwiY7nSQeo0IlO2K2doSiwGtjtjbK6rdk
Xcfr3bN/r6p242ZYGKIOEItzGK+XMubcORKOsJm27ScVlXaOuEOoQyA79y97N/fWfKyzel3vnv17
RM6342aIGNIOEJHf3u7jwM9JB4f7pJRgiugNIrAQD90rRx05gnDOCNsg8r2MfF2nzxOSzcAZJoa4
A8RkuXhBTGDOCcw15TNVZdtHhCqmFXc2YODzhwpr54K/yv96BdPepl/DZyDz9K/MYDL0HiBMi992
HHtKefyk6NhHTAqlNN2KDn0sOpTqI0VtZlNBN3Dt5t4GKOsk/CuvsudgtHgwdoaMIfEAkfkdbvxL
mRnB4A9rxRTdmpFZlEIJ4hcJrwAh5VPI/D7mCGj9fQt62g/7NnCGiSHuADH57WofC35SWsQRlBYs
+z9gotmR4JpKKZ2NIZqF879V8TON/98jZ6gY8g4RlS8vigriEYb0yTYkgcP10PxTSo/gHkitpLqH
BTruocX5rQqnPFvvHj6lVJ+WlG8D55iAuAPE5NPHfSz4SUnRR5xx21Zsm/FiT2BiO4wxpXazbizK
p2Yd7J78eyg2o2Y4GIIOEIfLl3TDkDThmtuSb43ETDZsfUQdyR2lNqJBZmhc5lUTvFqsqzwJnyMi
8/EzhAypB4jQ8njfDv1pSSHEgaDswkUEJw+1ly2PkKFUgtOtvzyzKcu7ZN2vq7t9K3paff09coaK
Ie8AUVm9YEjJnCOp4V4xPoPDgYl3bC6Yw7/Fmg+NyQopxfD2Gcbk28AZGIaqAwTjBB78S7nCiO+V
QHlEaLrhOQz4QxFx+BGSY9wWZOt28d3cG5NycpdX/nMilG8DZ5gY4g4Qk9OzHV+eMqw/p7bu40Lo
LcJhMR6CAe/X1FVMFl885W2dQluF4b6FPK2tduNmUBiaDhCK319QPIR9JCjl0nbsTSA4s/EoZCFS
hAQRsZEfiM9DlfX7ug4QKTZ5tnv+1PZ4GpWHY2fIGBIPEJnPL+gFC3FEbMnwHzTSQyFBwVchtNfK
4RvIZkb9812V5lnz83h8GzgDw1B1gGCcvaSYMIAhlLTFRi+RGSaaH5lYRdGt3pq7wmd5v/55QDaj
ZmgYsg4RjeU++n/OfkA0kAAmNtvlFefpLSqOlETk4pCZbJzdroNnFHu3w+ZIgKRDROIFXV1BjihQ
ECi9b3TRDAkHIaJwFJfONhEJj/ih+ThLEBrmYb17+u+Nx98j56gcps/7/iW1FUGqEXn5rUdLCJ1Z
EPvI4Y5jipDfUHuIyvu7LKvHpFs/KzX/ePQMHUPmIcrM5b4d+nPai+sjVEy0rbfM15CJh/YdFUek
Ix2i9Db9JXZzbyKSs+w2XD8nn/Jt4AyTMxB3gJhcvGwDEVc2Mu9bL5fMUo4mOW/baB+S20TKLNV1
EdZ13lbPCE3+HjlDxZB3iKi8oKQIdcQRt6MsstVkMz2m0dmikUtB/v6xiFyEaH2s82a9e/zv7cqD
oXNADlNM3kLjvlgyhRxpB3GgQqvQ5vVYdWkKw0ORmXe2um2mut7mbVg/T3k9GDrDxRB4iILygrig
3os6O5JY9jaxSB/jYqOIRSS6WByE9w8t/cW6rtc3QVvfNc0znLDZ8BkwFwcKDDLYLyUwQkKDmfrh
LkE/S68ofcSoogLB5UaeZgJzsQ6zu33LeTqzsh02xwOEHaKgIEv3YnigCA8p0egt+ub5PvK9JJrp
CXwz46GZ13d2/iYI/XW2b0X/AEm4GzlHBeQdIirX+3jwkx4xevAY8sHfgsS5R4w+IqkYuru37d3f
oVLXcMDConimA/Zt8BwbEHmA2Hx+QdNiTjpQ5mi4xxuJmEX4tnNkAk3BdxI1y7h8DlE+eVYc+ffI
GSqGvANE5eLjy0kM0vaw5pJq1K3uX/yxwacEIiMAnDItlI8sPlLDz4oeL3YDZ2gYsg4QjcuXtPI4
ooUuR9OyskFjHj3qI3jN6PrexTEzGbm8+1o9r9P+75EzVAx5h4jK6W63PhWx/ZxVEfxIORKRyu7g
3ExG4BRL02SEPMw31B5KyuVd/+p0nRYocD2nQ2I2fI4PCD1EfN68ID7IHXMwX/JtZX4mNTaS+HAJ
cGpzY3j0TJMZBr+5q+q7cd+anvbGHo6dIwMSDxCZ6+U+Lvyk5Ai0oiIqgXhsWD+LWoDXEeMEqRk1
w+Q6b9HytVzHz8q9PB49w8UQeIC4XF68HC4cuDCYGSq2dmam0ShRR5SgLEwcJADmuuzibghvnlH8
MrKyGzvDxBB3iJh83nHn/25lkM3n6I9AhP93LeVhREmpQvCCLknb2SQxv0OmWz+n5evybjNujghI
O0RE/nw5RMzhB66ZMGe2nvKN0RSJWJLAM9jmXGbRpNnvf+ZVvG9F/2xVNiPnqIC8A0Tl3Ut6YwSN
RpADobcnH2e6C72RqEaivsJ25n7H/03V610QPkN3bUbN0DBkHSIaL3gmmKPPzuECHS0bEZlXiDWi
fhgSQnYegJ6hESdopHjOscd330bOUTnM08G/n+0483+3JehrUejpkhyHUTevx1E9uilw5wRai/XT
/cO/h/VNntXhM9KTD4bOcDEEHqK0XL0gLhwWxUEjPVdP4rJpknTQRzkz7u+qO/85nZG7cTMo3oGm
A4Ti6iVFBJUs5kAGtnV47TwWERPUU3ha5sjW/Qtm5qEjfBXgQppXZ/Xzrpl4PHqGjiHzANG5Xuw4
9H9XYByCQnC7B6PbkH5u5E1jEjrtcapug87M9bq+Dx+ff2JoPn6GkCH1ABH6+IItFTD8jkAikmyj
kXmjC5qPuDD3Gj0IMR/Kz0e0huGiqLu7fZvmae/4wdAZLobAQ8Tlj31M+LmUC6c4qcUdAdHYeGSw
JA/DSI0wEwENWva211BA7z3GZXjOvSAf7+6HzfEAYQeIx+8vGdajrCUYjkXguqL71ywF5hBcbcBt
pFr+1nQP8fj9rm5e/V3B2nz0lIJ9WlZmw2f4GEIPAJ/9S3zIkkff/Mn78ZCAQWcLOvP504ElJAcX
6qB1b3fp1CxlObu67p+X9TRSs+GPKPn/dC/eP9+Z9+1eweW6WR/fX0j44Nq8/Z/ek4sLEmdDt1pn
s5UfUbtTSGe3v75mAlz+ds2h+YlH2mrGtA3Pv427W9fNr68tpY60zTkOXQA9dAGaMxU9xOrX1+h1
MkVpGDEkDHADiQNlmJnDxr++hv/HcdMb4N7eiFgblwJDcKUMZyiYaopKncalJN9ugHyfJyO89G/c
2P77Vdam7/Mwa+pfX3P4McXma2aVZkZzwx80ALMVQgOGBRQ36yuchMK36f9LaFRltI/lnUO9ptXH
rBCFlSxI0YXTZynbIl4Lq5L1KivHehTLhg0yGBZW7pGvflaJzFrkbIjtNzqQY7uMtZWVp71Ok/oi
kWlhjW4eD7L4KuMmGvIleJVEfOHbtqB39pCP7VUSDHaydhxZeDc85aW69FVYFtxNaVhjKaKQVfou
oKTps6WfyCou3LyXafqW2mOJJftpSsdzlvIs+suquxxjHkD6BJOgIR/xCKUdJjRyo6YVHezCjnjI
I5umYRuowLnz+jyLytMmFYk4TURXV/bpVPtN2C+msMAdMQnxQuat9k9PUT56PD8ads0VjRwJcRzM
0ebzBxhNEXdqRVR4G9GYx+Giybnkgas1s8poVQ29XzXLKmh8EbiWsKYie98LPtZsQcWkev6mUUFW
x26el7yilwhJSny2f5HYwg/XiBOQnON8BLorkIw02/LxGocgtFhQcetWWVVH2NKfbN8uV4kjGk7c
rGqU+hJL4jWIPb6J24+xMfMKjXvIcMMCQwftfN6iHXM7t7hz64/Yc8rtSJHUfwTCY5nv9lHYhu8y
D3evNm4Q5LiHwd0/vf6ObBueDo7laoGEH2ToMdm+7EKLDAG/tezELvlC9kTJNQTJas7yKbSTy9Ci
Ob3gcTm213FNyBS4qNMmYMrPrgSJeTi7aP2+j1zI45UEduAl0UiqW6F6iNxqpGqi8UpWfVuL49Dx
hPpStWBB6dYK1eQvORm7Sh93YU6K/geooA3g8W6QDCctcQGM6XbCub/ZbmhUSKIxzrwbT0+ZrE7y
ski98djy0lqPJ6NTDdgi++mnM01mE4mrtiAlEFScqcLlc48Z4OspkrporK+ogtupdTo0gRGIdMgD
XPLa9pGYxCJM65EV7qAZByNkSIL2Oi1UNC4yi1bZtU6DtMqWpcwrdpV2YVZ/3b9Mo08f6FsbqRWC
o3foaMFVuJCWmS5pe8+pSDkNX4eqqbAJSBsT4EOGnkvLHSreWdcFi0sjNE2fm7ew8Nsf4PMds1DM
wSlAjqMZjuACqu0xs5yS1c1Yq/xrlkgLOjyC9pp6txtJM8pz7kno/dpvcZNPGskMGrUq0orKU8eK
rC52ywDa1mj+McCoLJyS7lwMcZGnP1Ar5uLGGb9MwxZD/ZwBYWVuqX2o+wbeZ4XOJv619piy0uOo
qYukfV9OTVhki74cSyzOstMOn+Vjmebj0omn0brui8I7q3WVRP4inSYynqdBmTWem2mivGbRSmIl
VyrV/pQucAHCAJXIrGik2Rsy6QS/GodeX5Y/EFOK8OcRQbjKCkeatCI4q4yjfXKmMbAzs7LLuuKL
LXMZyUVB0DlQup7Xal0t6GRbUO3euNGeSSvwWXuvTgrqOfho6BuuylXb8x/LkJhrcXRZwRmRmuLK
ByO7s20RD3GdekFefCkqSFF5zOvYEReMBnw853U7gh3a65LpcxoM42i7bVD1ZbCAwu/VlV9OnnVa
pSKaPldWW6tLJ1TGQRhElyb6JG6lgSevucYWGjtbdldFFcXT5ylRcR+7JEmM0QrBfQCUZzrAQz7i
4qLPTjoMwI7LaMRbPRG/cZaFrHm9UnZrsIsHP4SDUd5Prx3fGnvXyYcIP5HDecDKQyszvkFTyDRe
D7XKymKlu4p214LnU/O2qmKvcpMkrVi6sHwvHU59AeP6Z+ZknvjckY5ik9mODz+jK7McLsp+3TDX
muC+jToFfHxhKzSTzLYG98bMp7pIvkw0rSvfHRixi9rt8yhPznhb9lAU+2ecayPcUCAIo7DbqMTr
72asK1IHfcr7P/nUms3Yt8KoP1bbMYy36kqpvngRn7AJe9Y2tX9hQ7Fgn+5fhrng+5FQcNxcyWzY
CjTJMAEv+bGUT7xrS0ur9HMqsrThbpO30rrLy6CENgriOqPHlWfn4fuudnxonCKQuX/sOw3rche3
WPdJ5zbML88Tz1HXA68SZ3TrnqruqnEsEi5KOQ35OTYRCdyICC8sXOEpaoQ9INiHeRfAuzjzorgx
kt+hSv4O1zbZxejyuOJDd7Kf4rlec3CCgZhrn9j9Xc6ICR5THCsvyPqytj91bUbgxMqqYnBiu8ns
W1xwK8RpQPsB23aINceb39x7tpYqzJbmbdQz79oblNnSrAyntDoNC8aNiiynmtBVmXRFHZ5Mcowh
dV6fGp+ajk4K6bRpCTHaTxKbaTYHHpADswmtBgSR/Zmp6pJn6ZRHGfvkNAGHbDWFbxbQWLw1onsv
xyhnj1ibFwxGxKErjUqpihKGxgoo3Hg6SPMoL2Nc6JvoyBanYZ8YPpRjn6tLrxzwrTDghsTRT1W9
ii274qvCqTpeL0bYC5D7A9JmEQBI07jCk1GICpE4JTwjrRliaidtPn7ifmc0VVOV2FpTMoX5TUOc
mGXu2OTl9NlmmbGPqZVTADKoNPHH4ylVtPFXmltt/wleagV29HbEsft4N0GbZKGlscVEnxRGu7VQ
m6chK3qotQYeCSYMG4/gX4ixKFiR+gKsaBo7sJqFTNoIIhFoFuFfG/4YVWjuQ97nac9kFLcqI20H
T1s6CDvJd64u7SehRlVaH7vUzqEdNu4tC5yhixeILAM/+5FamJkjM6VAzyMjMEsohMwDLxLl8FqL
wf5YtxQ7pBlx9ic8ge0Hf0RUiFwee72VD7WrEj6C4UnnZXBZoPTApb4akua9rWrHi1ZeIxwoAwhk
d1UhXwkLkFoQ/GbIYKi2sPlln4GVQ+JkkBVIkYHDjwcDhBWFFG96jHR3RfI0x0pkHMM2xaoxcep+
bgvNH+tEEG+MAJQExa2j30dUcAdryyfD+DEIRpV4btPGvFh4PfGiS8UmUY3HZVCpwnE1YzoK3Koq
w/INSVo+SLeAt2OdV35qiQsvDWy+KPt88G9ImJDT3muFWsZ2lie3Ikqm6irNVYo/PjHRpH8nOkqG
aelEmZbFooT/WLervpdOd1mVgTfkrkpJSt9yUlG9zLJK00U0NG3lufnglFPkBllXiWHhD3EHYeim
qh8Td7BkJKKVZrQV1yppRuEvyEDbvj0pdB9QD/6b5zdnTWDDM1vYU9JPE8JabMXibIhHr3XLuojU
qtO2z5cytYbpY69yFn5uReJ7Sy4aRhcj4tN8dJXf1HqpQ9bHC18m/ilOnTXLMif9dO7pjJAT2tOA
rXyrdgJyXMR5Kj6NsvNj65POyTB8HJqBNxdW3WTWFSyG3d7KSqnq02R3fpa7RZ7ToP6ghymJT7wQ
2Y3VlAsnzV0d55wFC7ua6tL5StPIyW4DVuTdsMRWGcs73TZ9TxZx0tc0Om28rJTOEnGATNSJl1qx
utTUtuL4pFMFq5PgLnAy3oDLA+VOJS4mnnfY0hOt6iL4gBp8o8hxlomisM9a7YVB8jaTQ1z6x1Hn
N333tpeeH4YrT6R9K6+8jPHyTEUi8J0V9orisVt0E4FZT2on7LXrW0KVzTLwqikaz3q/toLwpA9T
WJtFrHsBBdsVYSv/yK1WyfoMm6O3vEXP4bbQy7aA16XdZuTOoN4lzLbx1mweWmGY4DP0zwhMN+W1
KL9ObalZ9yZSVeGzUzpYlm0vxkjGrX0yZBFNE1eKzthFIq0Q5PhcwqisB29E+8EikoGW/ruxL/rC
fh95VtQnKzvmFivO4nbUTvdORVyG2i21NjkJu2pkEH+2fc+zpnMhkhqcssYSKvsCWrsM5LnFvcpO
3tKwDGnyPor6yPGO+wiKwD/OQzQDVwuoLLOksbMSwo6JH4xhuSRFHFXOMmuIJbM/mM8yzJdGidaf
Wt8py0WF0BucZU4bwoIsqArMj2D9cFncstTGpxdBDeoXRUAzrlZR0BuO8aSJ8ZbXQWNdZ6ltVL7o
Gt+xF7pvcmyAKYO/cdLoKsX3ig2pQSMnsK+MbLxgS2oPsyUBRZCZ0dDAQwsRMPk7TQbD50zoCLkk
q7UqQGFlsROIu7JEQFOuqjCEp7XoHTra5SJ0AtlaQFC0Zfu5ibI2zMAvK5jyk6CdBB0unMg2Sw6B
dDFdK+wszMDxUfnVswazwVRlGeTlaOFZolPDmq6j+CpMrFP2WEOHLhHQuKWnqjgvvyLhFuCZHIpc
XcdSeJovRK+RAHILO6DgxXb3eFOt8ZN2ZBnivGa8Z0aLXVMttj6ulpM0/+K1jC84CSvrestqa/P1
HZM330OmgMUXNitSLIBmVtB9jUNVhNVJmPERRJdswt/8cX3G/ZBcIwD3c+3KDVD51DXYaoi828o/
y6gePenSOOhG9U6nbQ4udSxN8BVWIMdWLZDm8DrtxmQ0Tq+fSoaHie2T8qvecDAvIEHQaxuaAhYi
RlsUeaZ6ejq2jonOyQbazfZQXpyAP0qEGHEs7cQQP6gxwD71aWWmCUSg8HDMS2IHnyYrFG3zBpRy
w97NRprascUqQaT5FRpWNcahssGxu+omMEvfMNSa+gn/yBOeC/vYIjKLo7MJ1aqhOPEJkkjkuA/b
HDKtI99kPuoe+IadzcqvVPkZtk8t4bGC+KqDs/uuRi7b/CDrzJvofAdvSUaMOKSTNOvPWuUH/ac2
8RM/XGW+g98NSk59fhrXo02bc77ZK2FU68Y+2bJcR12F5Qwhj/EjsAA5Jo+KMIad72g5KfIJnlvk
dMuitJosXJDa9zC5jALcDL5skgK5zQQJA6RsAFPQntm5b8S5hX3Fs3hsVeSsYjiLw/iG6zoZ8tNG
5CRNF4kWSdq5Xu0jbUg1bfH9oClrvMFplMllWrb4/5j2yNtJ0lOkikrk8pPLLm48JAX6KsLsNPDz
7rPKvAFRgDdOZu/3Gqo8Wg28ZNAwThUkrXOcpDCx6fFgZZ6uz6SGqRr+JGqIoG/8JM/j+HSbTo6a
JKiiVRskiHdvRlGjWfW0iAKw44Tfy0yZOwkYVnt97E2feeDkffOp5H3Qq9NmQ/qg/Ros4sUwxaAo
9vtaHquJUGi5phKGfXQozK5Bvsps8U3+1KnjHhygLTP0NmHI8FZhg+P7ZYjso+WGyYS8Mto44ky7
SFmMKr3gBa3wDTVSE8N2sq2xrzZJlonKpPJWbVZWHjvzvXLCb0yb1JuHsBxZw1KKGClKj8YIfdMU
sVO2aBIkJuR5GisjT43oQyTh/dhpoCq58kbYvHqEpolWiGwN89qQm1QBa50YufgoyXwMx1+MAZV/
9nDPPOtN79VVFV5qHpkkZd7C3F3YscdV80EgjTV6x4MXWWOwUn0hk3qJ1AXOMLg2kkDqi/A5RUgO
Y6gB/mSJCVSpLDVmI5We2W4Vqyg234aTUZMjE81DEvLuTT/J1LM/xFPbW9cVnGlkFaai1OoL9C32
l9UXEzgQCWJo8IrMgvJHeGmyVEkIfxWetU7zvvii9BiU9KsYEpVcKlUWo7cSLK8b668+pNHgHcOi
8US6dYL8t7VwEmpXn5GR7OPmI/HLyPcXnhx5MFz1Nnyb8lZ3YVeyP2vPQWripIrbLtULi011/HkS
LRO528I6DAj2Kc3hU9q21C1tscvTSLNFh4eW3bl2j8rUsNxSssGyLCIkiBdo7B0NWffqJkk6o//0
6BttAu/fCG9Yp+Yb2X323ouYeSYpsfCN0R/NFz2O7ER6jMjd1DbCxCsgyj68Re9yakZaHEcQVCOV
OjWfbLcsfEpoIo2jKvhok4I36tTyF9UwVtx2KauI874NbL/P3Z5kSNiLcfI0O+vLzEi5b00mHVij
ToQ3AbesOSsngv0tCOoPl8hbmpXHISqNX7YTyUrDpJXYKtb1JmLLwmiyYzfKilZ8iDcKK94kGksc
/sNusJLSJCHrSlVCLFM/LXPPDUrVWtdtKAvQ3PSo4nVvQuYbNy4QA+awu8Qsq70XOCuPYUdcT7ZG
yAtmyozLrB/MnrS9icWhK4M6S9PjIEogjasNQ5AHNkovRgMjflfU1IrOA8YT2/lB4msW0COXA/2A
Hcyg3BT9Lq0cNKghIF/NroM8V1i17fsDpKHPoWZLSxgJSjokXgK3C0uz9h9Ed49jOzM97lJAz7K5
XRfzz/KsVTvkVl/bSFVtVGOEHDBWgTgAkrR/qlkCHdJE0E6AuZCywv+VCesfFA97Jy4dD67kbo+Q
eMjzRVl4QrzD9QJmd2sVGFDbMALCuagEINsqx/1reZxCQIc29o+DPwDoKJTDsc/Z47V4HWdI30b+
NU4DQ42Fkhp/vK5x1fDxlMN1/hGfv58QTS9IHChHMyQXzSUID4mPg4rQJCXeVTlkMBR+DIt/Zo8x
1NxWsvcTSE3a7u/yjqEQuVsi8Wfz0P6PctRswiGJhJ81ibraaow+mEzSflR8lHI1iNrpVlHhTdWH
tudjtEzbzOhzXkE1WPUkYI9+sKLHOx0rQihlrrLhtpY43DMvi42aWL098vIq2QhVD78OMj60sQe9
HjpdCAgC0Y6QTM1hHOBaWIFZSFTwsp0WXYnIfiVTnkviDlAt4wKqvsTXIR8evQxHjnhy0W/qWcVG
ze4nYg4jgMNfLiK4ewQpWYprwmcwqqBs2GB1l0EdG8003TtCRS2z9sNoOa3ATXr/PtUlUQBB1y3+
bs99A5u5FP7xfPYAbwQ3A7WXW7M3+EEZuSSHZs3dqsa9Gj83H1L+ptUXgoF2ePGdOuC9h0x0F0aX
G7MEJ9mgYccJ5CKrS2Mw9k9o9MuDbYoNgfKTuQcM/SgCGc1ZPrMfpyGsJhmf2plVxXJhp6nNv6gK
AvMjEfx+KkDnoIKHbk0EmXNVl3osHVtf+acbV6STyI5gH7Eyxdt+qratGA8IQ64QU2k0yBDcIeSg
0/0xcoSgLmOHQX1STYwE9TGTg+lGaHEjR5v/VU8ZauiLvPaRW9Vu6k2IFt1G+g1Nz2Gt0YLjL/K4
QObnLRPIPZD3qSd9Pz8d4RvI/NIbwpgO48JjKDn9WZdlijCoipjIyuM0aSfWLEhOVJ0unUoi1faW
DzTn6r3e1PNihWCEv/OylJbDRewHnUbLTNupkCInEqFV4xSBhh2my8SKCkCxdVBsC8MCN964FfDQ
HRgLda/GNqFG3BOo7j5IGVQ3QkPjBvQds+DQ5sxBnJCxFl+Ai6Va+5LXiXHmrI1vU6A4CmknhUOn
0I3rJqWTm9WVzsKlKuwkat1dyqOE2QzcrSNz70GhstaDv1PpGCNulx0yS4gtYsWOCyfHlGmMqKJ7
Q1CtCP1FMqS4/eQE+fwkSj5xuL2aX6qx0aI4ixSxTDKg7irkWcdNHKb7seblMojbFGlXZGBsVBnc
KGic3FtYbe73JHVLXBEp2Xtd6sLuj/0Swl1+lKPupvwj6g2mogUfkDB1mTc1iggfwwLZZn+JJiS0
E6yCqqQ0WqQUTudfI0LP2nkj1dCzL1QOY+NcIm3mFR8yraOYHUdZbRFEwrhbbGgWaOVCLf04y0dg
u+wHNlWjSyxkJroFXDMqncUoRq9/G+u6qScX5eg+RDStnQp10TAg9YkgSdN/VSSNx2DpCTjcmZva
WVr9kSHzYrWusym5bXVRiXq4r946KfR2tMqCRLEWXvS9n4XEt/ETx6wxRmezNZJ7bzCzkxghW6XR
EVO4XUVUSqHJ/NzGMlgcM7ePrU5/hBLPnesi01aySkPpSzfw/f5ajqGMlmPYeyeh6PhpSPh0llZD
d4pMRn5lV4otBi2DSztsEoKccVd99LCpT4Uv89qF9AVfo6pI/vBJmC8HTT3EoglvThDsIqXEMnnu
FORLHkMcs75Qb1UfFktbBAHQJVa1iuxBHEd52L6boqQhx/DKm2NnJDzBjlXpTVC014yK4rwSln+e
dnVzLGukoNH74p92eauXge6dD3YRlKjrF+FtWJfeMgkK3x1Fli2lp8s3zsTS1ehlqAJnhRT4aWfM
FiLK7FWPnzxzEI99rYa8PUHfg3db6jg5iQeaTO6oI7kKIpJfFwK5eTdBiqZ2LZ77n/phctaJlUmE
8m36sXdYeExYQ94IooPQzS2LvxVI062qpkbDemR7H5A8DNGv1HB9S1HqQTxDC3rVsSgIV8WYWce0
TpuruhNIOEAVLOtxaN/wuhpjV6a9s/Bs7QXOH2HH9HiGDoT2pmYiosd5WzQIc8I0GN0OBxjvnEba
6dLyrOpNqtGOsBS0iT4MHY8RJ6X5uawbWi48J8jXJKqLtwMucTmvFTU71JOmhup3/ZsB7uwFsePu
DNlv600Y84AtHWi/W9r3PHOnyaEBwubC+rMvyv6utKxhwUI6res6yhk6Cgq0D05TjZ0bJEXiomOq
apfF1MfDG9X6pe8S+r/sndmO3TiWtZ9IDc0SgR8/0BrOEPPgCEf4hvCUkkhRpCiSovT0vU7anZmu
6qpC3ReQN047Is45IXHvvda3ttRwt0UFDmKMVLVbkzG5wqr3UV1pP+tDrGx8nY3CV1B6X7N1+xpa
Su/SCLePW6xpIC2GQ9V54Yom22TSpoWZ7lSf6vdNefRkIeztbqksBwPB62LoMlUFNkk/w5mWVRKP
01FCKKjiUJhHH038cek3w2tuTPcy99v8pr0ScTV762saacUqhtcHx7WE5oYbz/d7nfpyfSDx0o/1
tDv2mQm1VzB5xCtWC8+VUi56JDARzirWZW11SK/SYUo/L2Xubxj0fgfbIbX4odRU1AYzJlLb3eRl
IIdqjDj5rAM0NU2J/oxVGVvmh3zN+QEHfZ7XZNiLk4lk/wBOB2zH2uuXWE7q6KyPjky5/LNO6MuK
Oflln8VeHmeVbhWbRfd9wwdy7E1hbYs2cHs2mmS00ukMx5Z3pgp758454eo4ow+Nqq5YyAuZDPmS
eJV8YJrKL253+3eLC7xxhYxvU4AFxxCVopn9bJ7RXwZVtk7uJtAL/7SHcjomY0RBZkFOvuu3MEUt
8ziRQjaU0IMynp8KGDO1WiZ25JnVL2C7Erx+F19F4ZQcWJ4s79Dl5gcy9foUbSN5FkLv193C5tYX
OHIxBovhbkpDc6Vtuj5MC9UfdFmmXxPucDjE8+bu0k3g5oGmdR8lxl57XaznYfWJhG5TTkeai7TB
eAzCErIHOe+BpjeU9vpxj8v+pYR08j7vpfmAgt+dcLMVt3sUGDBM+XAYCc1u4HBHSW0EGZty36YE
17ueDnsXyAcOCf6h81LNNciQ8KBXNr8rY9MOw/W+32iS2muAShzqgJAfumQnAme28G1S8PIUwfOr
ndrT+9J1CZR5HXwLaAwG7WbL0n0g9SY8et2msJC0yxueJa4wbYhU+WiqkSh6swaqe4DKMt4F6Ta9
jkZ/xtd0EHqH6HUR6GCYLdidJwz4Zaai4YpIFX+yAbVrPfZreAvUx74MsXPzsY/HJK1JHxXXKZW6
PJBQTORK9KVq4OOme+Xgdzcl2UVRsd0QV4mETncygN9/vQVzgc86D1ejb2biYPREXkfreUpncZ/4
NHgsJjKoOve6l21PlH5i3eBEC8t366/FwOXQBHrKACFSGgXHwi3L/rSVk7b98dJ6hA2ZPZ61zfGp
ybXjVxwzuR7rqEDnUmfCUncLtYQtdWKj7sNa7HKrZTjmN8D1aNSsEVrEa4NB3LxmA6Y/jXNEK5Pl
aJy6CVjRyZm8uMpiH07sw55sNHbV5ueQ2KsYh114LlM4Asd53Cbd9G7J7DMJOs5A4HQj0ZUOaDfy
OkiJfx4SUDNV3Kfjo9yiYD+uGDRZHRZzHN6shPmpjjV0/NtixHHaAJDbGwll64rFZqjxyEt+ZYLN
L+x+3IKc7Ak+/in0ooFOI/iF0lJxJu6NSVlpmi1n+RhDYF8k7ocS9mZtoy0WbRrZsb/hPdzZSkyQ
eevd+HmqErHB+Cks46dpSDPZdjAKb/kAmbRhfvCnpEujssnLsC8giTEdnXmnFexImxVbFa9wv3MT
m7sgI76oBaPpUhUpTyDFQbN7jVSgvzmC1iTRaouPUtIoaTvXxzau0cL1gazhzQNFW6uiz5+2IJUF
GjNbbsNY4yQ1+AcyDAbsG8EhNJd526tRVVk3R560XBRR0bcq9jLLbqPA5fYFZq6gJzaX6efOuU/7
3ncvXa8+dURlrMKYIJ5XsB0tLak+higeIQ6JXMP+KvbrcYvHO50M9uB6TWo1q11VBTBNVQmRiWc9
jXmjdb5VthxSnK/OiK+mo/uhkCNsvM7TWziMZVhHflnnZkexSR/I0ifPBQAi3QwOWg+uB1wwFXi4
9VskFX9U87SU7VIU3c0iJ/ls58V0rfWdo2eoxl1RBcKTs5BsbuJpHg98ptnzxMOoJaaX15xmwW3M
fXodK5iWsltgXhOMRU0cU+xet4U97j6OxwrPARlFExI3L62KcnkHfnA1Z6VXWpFlDX09847Vab44
VZFIUDCkACLtecnx5toNIvfzTvFoKQrfez4y+GuNxk25VvvG9R2qPIr/kPOxGRj6C7wE+oSqMxxs
QfLaTqp/ZUMXfYLy5g+AdshRhkQcClWwh4CFunYi79/CSbyMDCRYh8HtUMSUvcs1NrLKEinfk5Dq
Kxsn1FdUe1bWA8TRK6pivOkuhMI9eFdj2E3uGcaSK7dGw1feJ8UnTrvojUfJeuPg3DaZmuU5gWT8
CvE95pczzasqYeF8m1OaoG/F4Xi5CNOvKb8Mw9skLlXbx8sX6cpgaMd8gBEKMVnm5ymbBlkvevAG
XtMuIRYWK4vqZMQ5UuXBwLLbUS3xl77vDa/iEa+hYmPRlzXH960hf+Ga6DeVnUVu46IxPUBOjV6L
d1dCSfNRYWrra66SJPyEwrvqigTl6k6B4XljFAtOw5zFLxdu4BDtjttq2AJ1n2WefbGuVCgPmDwP
0lLQUJJmyQ2sO32tNkAlle7Q0tz4xaovPDZ+qBfIjK4a3Oi/GrPhXsFNiTnNKqiY3xxcK1fBkXPt
xFxyBZG6AzI1+B3NPLDR71i07ehBFL25TjfMb1WAdsQ0I52DrA1mAeY33F32apZxfC+U8zVfkqUZ
w2AO7+xaRM9w10oCKgg9XJWbtR+PK5qqK5x+09r6ue8ZWjmC1hMURyDvkn6NgtrSC4m3iTBTrVYO
CQMQKbiI6rQXPUu5O3Quh5UieM04mjTdXsZYV9NtHmL01MlE97dpsRO/j2W0Lg2mCspxpJFc7qrW
ke3G7RiEMZvS+9wmtKx4NA/J5xHYaDDVLig9owcYZtyHt7yXuSQ1pm2fqsruvVhsXaDgZlvTw78q
x8qC5k63ZnIbFfx6K2mchPViMYCph9FBHUoqD8yb2IO2ah7euo6nsmtW3CqwUZDGSSZdOT/L3Bw6
9GrT2fY2EL8t8+Jd1vbgn8TUZjO8tmcaxvBejgqglJkavaVByB6YVRy/hzQALmUZSGZ4AA6YO97+
dxGQIsTnuLBpa4jqffaWwWXqn3+ItYG6GA5mJBdpNI6oV9fIN16se/ACFx8E9+FefOtSGvr8CK56
x/02RwsZ3q1a+6CvphJCV4DJlrI1R4nAcWxebQ9BobwxaCj9XchIuKW17RY78+MOdwu/LZQ8JtmX
pLSTE002GrtN14nF29urQYKyWGpAL4mgz4nJ1JC3OUDVIbkKrZ03CQ5pMOhxMDt080GpkuE8Doxs
OCik2xgwF1p3RXBibmRAE1Wmx8EUYtsUVFgHJXWogVTZcU3bbvLpMLZqBXFDoB1MsrzZ0fqVLQ3G
nMIFc5QoW0XpTNK22PYkPcL3E6+qtONLALrGVLFE+KxKLe6dFrSJ+BZOHF0W6Pde81bmC+kbp8Gp
+GqPZ5iPe2633yn7KzJ07gFiqTtBBx5uZEiTmse5vWXRtolWJQKwliMwglUwPjPi1+I8o4UrqmRS
W1r5aeXTUZsQFKMv1TohnOP4N7WHlONoTQWtctRR25hk356WIVg9GoRgbNGBYkKkTGXZUeepEQ0V
pf8S7NRvqoq6dY6eSj7wrFmxPv+rxhpkXS3MYTSY9sBhGtEs6lu0E3o52T7j7lsX+Ivigo46nuqd
990BOS1Hg4OwUQk4J57JVNMwlbJNt3A5RYss3kc3ptFSFzTuZA1BccgwoRbbcifKPLRNHGbWvAF9
ADYBhhWUXQ2mY3ZokKIYXBHErbsOk7eo0hl9+K2H4earNeFFW/B8vAq6RQJltxnCFWDrlAC6EW92
acopI7CkAtMfkVvAL6bwXVAlYOtOsxpnVlsIZl92AAu4Nih5tEEo8T53dcgj5R82/LKblNCStAxs
xfcA8BLEQ6a6mwDH8PIJw+XaPxZM6EvXlcTDCR1MfqXTIhu+4IhMtmPiUvYk14TeApPsvnU6widf
rrsHrkYtlJF9H3ylhnB9KX1mH1Y99ngLiLHBHS6ExGlaCIQVeEaeIsiHRUOYXM8RRIuhWcHGfFyT
FDnCjC/paUoZA56os+eZdvJg4il8y/USVaQAh9jrcQehv+xbhcjRdodMZTw0sV0cQl3jBECeDI64
c5dr0GnLtAMH7ejq8XLJeEEjMA3Xaiq2+ACHCD4rHmw9LE3nEoejN0DeYaiMKoAXJt0yoymYtuU2
scredHHkyibMOlUcAEKoD6svDKhjM+FdggYoPqW6L7tKoAG/n4NLx7sgGD9V6Km3oco5JcBR+Dz0
DQo6A3kFueRhF1AAqj1XKm+5A2DXJKEY2n32+JouA04HbESoxiXqt3Xppzami69Xk23vBU4Ld+3N
pFUzzq58WjJtLH5cls0YCAaoQCKWt8lI4+uyH3kBTIhuotIRJddB0MdftnHgVz5QywNYPVaDAYs/
IxVjJ/gMBdnqIVuYros1HbbGrhtbqlGXhra2H8oR569OxmsWxVt2MPmavQa0V/4OyhVPIAZIsVWj
EtH7QEA8VAIgxp0EYRK2xZptGApIjFTDTMNMtCJi/Qeeeb3WqJvo6tCfN32i5/LyueX3a7JChk5i
Se/KUSRvMyiLrnJ2fE8WId+0kbLC8/ygPYKoBCjVOVzyo37vgjXs0Fv5oA7Qedxqi3jPAt3l09TZ
4KwZbupGD7y4N9bIK5PNyHrogt9AFyhOAQ3LVyjGQ4HLoMu/qHhPWp+Gy5PTW3zmeFJHXDNXrpdu
LRRAZyZIPMWylKcl6ae82UmAxkkMxB+nLHbjE9KyQ6MhbjUal3paz0lmW7Qv0fW0yR5s4Bq99XTz
b4SaqFKLDRGdzHgrypH+Bqw4bNIsNS8l2v1jlNLoiwSB/hbiS7Iq8PjggPy/IXNT3nqY/EflDO66
0n4GoGwelA03WpVGhhHug/2BdAFHRxOl4oh6oCeMGUvSlAXgFHz1zTrH+iOD2NGUHoPKjEzxXvk+
kq9BOabPrE9SUadQ9c9KTRGsMJCWPEm+bhbqv265gh6kv6BAceEaeOBIMb1hopVCPel0kWl2b1g/
45Rf8EgnsEl6Rv4ZkIDfmJjhNcBwlPfpBpRmO64xshpxk8jQm/4c2l6w/QyQezMvdPBr9jWbUslP
TJbCpDVNdWiCpnRZumocXhw0Czwt8BGMREMeNgDvoh1tYxluQ615rkN/tpuHilnlsc8OaTqt5ad8
mgwOlVnx0Y84x7I+zBr0eeAUmmDLuw5ASwrGCjgy2nhQVRuy0LhpgLGnGVDQXsnv4RxsxdLA0ASo
1y5q3XgPx3LoOGgh1dELRI5rcIYN0rFuD+dHl5QGI8yQ+FzrV1mu1LEGRmyJuQ+RocGzO8bkYmWz
rFjtFLWhSuwyf7F8d9FW4buoYatXmaIlq3bV42Q4UcQkGamhWF/eSZp3IRmPfeddMX+0QbfHWTXQ
kuPvwMIXub8OzIKB+ZptCx3z2oekLNzhX9hzvwZEYP4hQE2Qlb3s/CI5wIdfzbkpxMzBvCJfQ4YU
yU/XO855BvtJJ6ID7bmWbhJ1KFIdF1WhRwSRqhE+ylKbZPLFC/vd6Prnr+tXdxkvCxsXcsRVsa4M
5iG8ol9f1pBtiCZ1Q/GNS3XJNokf4IfgZMSFGEjYZf/CqPzVk7/8RMS48WlcssOwfC8rBv6KJUA0
LE2IvMR38eMnuh9UTZJNGtb8UvSpBQTnQh8g8jEwmJU/fhU/9yc8/HBEf+wB+CoVkjVdb/7mj///
gxT47/9dvuaPf/P7qoQ//3Q7fNVykb+Zf/qv8Hzgy2bD5W//0S/fGT/956u77FD45Q9/t87hHyxs
ePq+2NH8g7/8ZZvDL1tG/rrNIUGUAr/eP1iAv9vn8Px/rP29LEr4+YU/FzqQHI9ahu2G3V1/rG34
sdAhAPTxXzAPgYFkl1g6dL4/NjrgESoEAWUcfHgMFJZ84DqEoXzZ6YBFn2hdADflOPiRDMUX/e/b
/OV3iSUWP//8150OuJ9w/fzFBUcAPEKQLkTINyLoQqPL9fcX5oeEC4KumIXRhEbuscxS0SIvgsl/
3HlbKLSYmI7jp2TM3bGUKSYDt5EzrtW+6bhcP8DMFMh7IgaJnFh54kOIk4UyNtWThFNa5FPfctM9
dSo5pdyAXE0hkeIMfV0tf1jj1FR87co64HFfRTlDM7+kpCJiGqsl5SjQczrGz2ZCu6VUXNR70om7
dHXLhykhIM8KkzaApMdvIQycrUxeMJD9liiDrpjax41s5onJPDvOa5ZCZmRWPIFqs1dSlfP1VvSY
AfwsEKBI9qEBf+lvtjUvzgIGUMsgK1+lmpKDWWyCQV3uedPh47zTeRCjQYdf2zggIKIq/HyxU8Np
O+2hDnHwXuyGbM5uQl2exjF+UmGEcQfZjFvBUdIppFPmia0u0cSW93wD1F/SgwmVqHHByLacIg0h
j6/VsM6ASCFl4pclrneT8kORBcWVYCyvqaSismmhDj7u/HTyUxIBXlx813K0w3M2zc269a9ki+KX
VWT52aeFe58i+Gn9MpMm3BK0TgpdS9iOsh8gNwLricJrB5Rwf550wrlth1WWwVdUu6jYKznaYD/Y
HB1gZSe57HWYSegwQWpmA7+FbU/I+JV3pANT1K7lnPhKb25ejyJe9AmHqMcYPsEcHKK0uPdiMk9B
YUJTbUMgelNBMU4wtHZDdlNwHdbsopW3Ad8D4P6OgC9n6B3uAogmKmigSfpuP0qld61vJRsRLsDg
IUv0KxW+EfrVGsrOtE9XBZ1Mrt9lTLMnvSvwuVAb5RAwXqFR1Gx9pIaL4wRWuejuk2J3bj3AIw3t
fkx3pc0TgXW05S+oLkv4HADILxEJIWwEfhp3wvr4ECL96Ae8gBwGmL/F5Lmp+TAvdLJ1NIbRR1kq
/4jE5i6qjU0zpg0wsJhIgs43Q5SRC6+wLKQdEBl57Xk28CbeMfhXJheAQSKwZcimz9+yHUHqRs4x
fZrGPlA1TpJZVYxD3KQA6MUdUupxVAu1hfe7W3N3GINipbWdezlVkZmmqw3z70lOY9DC80s6hDbs
9qwp0NIqCbT/yIeRwCye8+TT3KdxM3aiu7+4mPc5yOrWOAUPBdDgesQLCG/BmGatgDfR+mncT8M2
qYccSPcr8fA7q2LGnpEqxbQwVjD09TlmjJ57GJ/nUhXBWsFHRh3vjM+aKIjMDn9rKvAr3zlYjiwx
WxVBs29BQ5gn64rpYS5VdyzmtEJUJbuHENh9oKPy1xDn0bnMaGDefz/l/1MQ/69NXT9r5aWuRdhb
8s/q4X8jXC//fETnn1/ysxJGeDwLnhQNURYbjhBKvjzi+38rIZ5djNUo+Q8akoR5/EclxKN4wLld
7hg82fjyN3+WQqyPw8Ij7DAp8BwepG7Lf6sSxr/Sr+BrywyviyCYjGqY/h2PKWbMZp7nK6JJCtRR
DlHAiHGq8LgNGV5L5UoUOTYXZrdHjuyNCD+CnUGPzScllg+xSM2u4eEnyHiNGgjLivLnsDmgfB5y
aA85FkmwaYhsrVYPMyHFvgoBAY9sJxasawBJCGSvcGcoemJxmPsxaxt1O404I5B1GkrIF6WabjJ0
xlcyEC48syHfbreU0g8smRVgofwtWKQ7rtIVl8gkYo0ZUzdMYIQQzNuoyjIef+jzYZ/qoQfWj0q7
YtBDIpq0CNTMazPqvUNuc8z90w5B9nOoYohwWBnlbrEDBUJ13JvVwnCyww5QpQvH4+TdePQOUfom
I3I45zgAijtCjGP1soXI4QYBhvBcbeZoNHe2Ci5bM3qR8pOiej2wXaOqQLfGN4bEQz06a+ru44xO
72bdoqcVa4ncURqGqOGyuK7qYOL5eum2vVq40A3LZveGhMj2SndZ5LXuZuXPXgLdhoCY4Y1C/LXx
GzbfzAg5RuNxiXMNO5K7Nu/UHFVLpG9WJDUvMBHYMASNe1UNfM3OOV2KV8I2fxOblSzHgaWzOfSL
BtzlcKk3iK1v4eOc8zY2wSSOiRlpjcPfw6NmpkBOgLGgzhyQkgqLebRsQospEA6ZOAGY7xv4a7Y8
xOu6tqtBJcCA47rDBvYHH3SnVFZHy7j+VtAh/LwDhT7wDHfjgdNBt6D/t88CS8DiAwJ92dFKr56j
SffXiJCObxKwYEVDF621CjqD3HPfhU2si3tEVnRj4562cMCR08M4GOGiiXzk2q4b58PmYLT1hSb3
HmXlOFNtUTnS7qon1BeVTARHOjcB/pL1Fg0YC+QZzHZ8NgKsEHac0U+4G0CiIJlJvlDhoqHaFuP4
sTNzjGN6sOdVi+IAC6rAkqqJLs9Qrb6GaxY0biv3BhtwoEnhDhjOsoCKDIjFO1J3eRndiHxMr3if
le+gleOjW/qconzsUdRkLgZ0EIsgaRY6fwCfpe/mMty/jEbQBnm07dUOSpzoDr6yDoKQsEoF0G+c
Cpb7Tfrpbs4Q5ayMZGyoYjdQNFS8bKKeype8Q4+zBmQ6AyDoPpr5AhNB+RqfeKrietmBtsCNPRoJ
gFQXNLUVkkLhY9bPtt4AjJKDnNIYO0cyGtHr33V/mxl1rwU6TazvGr9PEd/OMxqT2l9wYuc3Uk3U
fGXhkDaIzq11Btf3dEmLwhaMP/t1+4i8UlZPvCO+IS4uNG8gIOH3iBUYc69s/rAuwAHwYxFXspv+
Maf+pyr+i6oI9SFGIfvHY+IDlsf+7XPFL7Xx5xf+LI6X5/4QbO8rYO5fStDlWSY/i2MZYu8f1uxc
Ygl4PDbiWn8URwyD+F9gHsIYlQvPRkNN+zknYkNkgckuv/DiWAWXlum/VR1/59j/MiemeIIk8noF
YI60wLCIb/fLnAhdddmFCrdTVkwcgu9FqYfhtSZ3MWL+pMVKCXBJQgxaHFaTz6RCo6/PaSmj8LDP
YJHqHp4qRovFjBkQyywPcHJ3ttHkK6RIer/mORYvbRFkzAGUGcj9EnSYCJalhYuUNjuAEgAyCZI+
bbFvCoZVT6MYTHW/H4Molq962TT62bm/ixB1aYtg319oHCRDlcLdbjUJFWux4X9+hsKGSSmcyYx7
2ofFZyzOy6eag3hjlcRKdGRhFeHIXHicF/10Gop9+B5EUfd1Rcz1FoJj8QY4kNmGBCS96cVIWRUV
C85r7E9Fc2uzLm6R3MkesGBovHYJYfeD7M2tw214jCjb4SFRgKPSON9CyAN6V3TMXc6ZrvYehTDQ
OTR1IYivAFeFlRuz5KXU+JijAMB/haM7vJryzraQ5dJTHF/SwCCbq3RII2T3iHhA9j2H/L6Lx3Af
JSzWUt/3tExj+Gt8usqKWNWs3GnN1x7HMIlDcMqluJ2KqEM0ushX7IrgamfoTcKPUVGYGyvTtwUY
/HO0LFN5LDEdjw22YXUAUxBiPMKQTF79yOMDs0l5FKrDTO92Sm8hwg7NloS8FgCLbrPMLU9FLkvW
5jnNrhLI8ZCx86lNRfRUuAcwbhN0zHQ+pl34kFp7oRpknNxFwWLf4TJ1L1ok/t4tF5Jd5C32M2DH
ieABCB6cv1ABxysI/fSGKDY9ZqFJb3kafxzWy0YLGXJQSnbDtsqOPm82m9s8yMRpDSEqysjUnDP2
REHl3NtgKRrq0xXGkTxy7FhsRYozuLehbNBuiKEiTgL1AaCHoVjw38i6foWREhwkMGu4D2aMnnCR
oyh5P59Ro0S1jyRpozJbG45dKk0+ZY8SVxvoMXIN/xTb6Mo5b4J+edtBVyN6WgSHPs7RwWEvzwlu
D4JXFqhDZIHRoagHbwhxdGc19vNTNiqFtjAjV0W5zA3YmK3VEViUES7UXeJmXDe4bLG+JAcKpUAo
Y4qH+XBZd8RrmOlZi47bP22wkirXDTD6j3kqti56Kenoh8NCojVB2Y+w6AVQ39p3fYkeDelOVW8g
1kFYxzwDDI5qlqWYHnkfvYK57lgbZmy4hqhePJqyp/1Hn+7CIKvJxuQwERmATs2HDT/fIfJabvFH
kiiJiB0D0lprMOuXpk0G2Zsn2OJ5XmWMNm2UO6q1Z+GewkaWgXbPbhjS9RlquUV/0nUBS+54Ejr2
DtpC71MDLGVCz9lnlwSBAtDWuAVx6waXWde9Y6FoN9asjwb8fgIpcHmucsNQC6Oog1A1eLx9MANF
14xsKssWGRXDuxMyAOm7ldNqvhacRDx/x2dErKvGi4UE2iHJPCo5NxBEJtC+Z4Dg2KpXQV8w9MPE
LSJT4ZzEeR0bHVPcWJFv/zO//r7l919U6ggw8T8r1P+NtUDT8nn5qwj842t+1mg8iQRxEGxPJQjC
4+mwf+7mxb3yX4hmYucrqiNWWUKe+6NGJzlWNaO2Q8NHlf5Fy00SbGnGLU6gDf+o+v9OjcYS0V+1
XOzRwn/IvqFAI7H6dyv5sNInRgNq03M2lmDCM6Tg9GTccccOrauxm7PTHkjsr5Trun1D2KK4yXgK
bqmMovVJSotc56KCz2MxghjKUnK3QwD8kKMF7jC75Vipu6TFXT/i3N6YGz6IJUOqwboBamkefZKK
Yl8AK9hVGectdkbOX3A0s5MPSj1UA1s90Aur9q9YfRLUA+2QBKGex8+IyfEr2KPTNS2S8WiTBQSD
mW5lFg81GSkcNSb6q8gtwHcHgS0IIsgT3BsdJNDZIgaAQ+kegu54VGNJbralcwywpI8ffWAJkiY8
vI22AXgxEt2ucjKZD3GBGRAaaPcWkYGgpvCHyINYoXH0ASiFbKIcPv80g1SrQuxD+y3ZNiACYstr
nE1TXGuhDdJaUVpFDOE7qPygCTRmmmM2hurbimn6kEA7reZBY0S2kr/MKcuxpW1M2VEJz04I+mDt
QrqCgyy2qDZRbKENDhSGc78+GjnsX8m2bm+XmvrYIWJyArKr7/KE+Uf0pVgsAb7hAALTXgNsmr+I
xPoGrFlxUG50xyLieBud91XKpxH7UVaEDnhqvwUkqQadbXVC1DW2355TbFlpLfY9YYGIRNHNKERq
Jc5BGZzBBvAG1uz+EVGd+TjPLvutA6IBjMYMwJfT9YgtKfQcYx/qA5ZS7phDIade9fAHgzbZmb1W
EPxeu/9h7zy260aydP0ud45asBHA4E4OjqMVKZEUpQkWRUnwQMCbp+8vSGW3dJRFdfa4BpW15Agg
ENixzW+WNPgkG0FbHRkUUJJi+qDGqbkLIjelbyjMq6kzgXwNwF4/IsLVXWaDWXxwa1cdmFrbwWZC
lOnozYXMNnnhOLfrItOrOHbX/SIlqFdD+fI9IqgWJWdPapfS+9X8IPMmaNkrddyLKMxWt3geaNpf
RyhMHyHEOBeiVwWpigAP5sv0sUFQ57qKlXfLbH09zskC/ssYnQt78jRJv47fIcfR3WWrE4Tw1Iqz
0hjOVBVp7Grl+dd2o+xPFQOcqyZ28zOUgdQxywrwPSVYzv3kJt67Qk0XdjK5bMemPRpmD3Ii7p+S
gcEzKO/c2tkqkk9wCb55zVyexYsC4b6U3lndRO5e+srfLrKyHxw3f144juPQiF37k/Sru5ppxkPX
qQVUUGXe1okQFeN5xCSQCgPNqjVxr5PR8qxwQrPhCSpDdiPjvGEAzEjqmYFvcqhG/lG8psW9n5IU
jbSDd+aYlxdZzEucHIdGzwAK2UeR5IN0uh4cHCKZmz637vq6OqPWFOc1YIQK4nIIWbGk3V9k+S2K
gMV7LyqOggTjXERrdQYOgJm1GnJwBoHzqa+D9EwiPrGnwd9sZdeDsK3m7L3qTPfbCsowdPIsCdcE
IhPgr/wRJuF8Lytl3Cq7rENeqETZIsmhjIB0uqGTvZ8K0Vw0LfCaMAj2Xp+Vhwig8RUIgwIM/e0Y
ReOjgXA32luOdZuZyMBUqPx1YTGZ43Vlju0zDWjuxDW3AJTlAWDmvBsLazBokzj+Y4/KuNoocu0U
SMBSowyxxO/Wrs4PxtxDmVwWT4btOAs9b0e6IUbpeKjWjmZfPQz+NgjG+3hd3GxT5AHAHbpYhLmO
WUIxlOtFDXDoaqkihHQs4zGz89YntaFvQY9eksw1Zhi0lQgLI/0Imto8K0wQNXSAmo3N8OpLgSrJ
RVQnwa0HLu2s67yZRBQlmdu0N3JIjlXo0al8EnDoDhlN2RsTxlwfKjDH16Nfm6EflWuxQU5G7GDh
BA8Bp8b1CvnuY+u76WW5jp8DNPeOnIhrSJd/vO5iN2UrTdlll1Fi9aSHl+Xgtjd9FjVXmTk1QIPS
Avh3qXa11cV7KwBXupLW7byucT7mU2kfRc9TtpFf75M5s7+tMh6uJjScn1yn0YcLvJ9HirD0Hl23
sdiINA/2ThbEB7CuYBeXeAoNK0puLCsliAc038a4mT8ww+k2VeKt22Xp1a6bbf/C13iI7cwkjPFP
NrHRaJ0FhuvButJToCV2hkMFuPosD1Z1XwwQHS0KS2Tn1pt8dNydGpEWR+XRpG4ajIr8N573oqnH
a2uM7fPAivPPAGjy7QQVejMyErpK+cQv0C1WRwp6ZPPypg0+5UKk27KazMciaqMjkSk5i3p7uzBL
vlmHzHhWENPPFbqle6D53TsrrYozzzVQeEHy47ZYJv8+nhgqWmZjfkjGlLnRKEHSL1A49g6tvet2
ab5UAOaezXUg/A9tv1J0zm58mIFVbVd46FTyxoVXmTaj0gpUOcIdWlTf2FjVAFOuZOZ7q/t8nP1Z
Ft9RSUFQywZYKSEj2v62iZviWCd80ptZyTzfrF0LwlNGfvMdva/8bCwSe4N8rnGZwhCBYVPejGOV
H3tv+OS1Xrwh1jL+9dH/+5L3pNRp8mRGw3dZrJ/Q7X1fWQC30I9SXK8pz1oAfDsEDu8oiNW5SqS8
G1VuP+TZVD3TK5k/thH/cKyEwVZPFzrS5yrmKYZz1XTN2B/ofcO4uiLVAtkF2BW9vV1q170LfjdN
LmdUqYC8zYN/0/TNIh47EX0fEDdg0DtOvDjIn7baG7DYmM6aBySw1Hoogfxcpaox6k+KAEruFYw0
Hyj8mxx10nPfyFvK3cyGUePkF1a8VOdDm8pP3uI1n00ZxdlNNCfFhUw8q70DxJlEB6b0Ba18KB5A
eBmbedlXP5k7495rotnbWQkqlxBHITOdNTJ1tpVhLoc2qKv9KLqPHfoxm3aOC2bAvElcAT6CI5mO
IlXI6pX9cM3fnPcBoiohtJ3ztHUvB9pYsCyN2tvkUMgeAHIbR3KR+2pNil0ibHnOCYKOlpHGsEAL
K4wra7mm69xct7zN87Wnr5qk05NWTzpvA90Hco3hYFXzAh5Wp1uoCA8o3TntRZqe5dEeEQ5kBOuo
P8IEdsO88dNDB3EjXCL3tlyTbpsx6DtbXTQhIXNG521pp+e9Cd/RKnCokJa6TCIBLQkRkc+DI4oQ
KOpySJsxBa7JpBVmJW3wtKh3U+SqGR3onIMsUvC4eM3HgSHIpi/s8oAvgfndHUCXhSpXsIGYyTjW
V+FXwv9I+6eS3TPD+Cb37qOGurkP06ZImVf/p4j7XxVxzALfLOKKJ8R+fynhXv7FXzNIO8BfxUbE
Gp0Y89VE5bXNChQYoA7GRoHt0ecCffbfFZy2VwGlg8gHyBvH05Cbv7qsHn/E5JA/pTfq6vrun1Rw
2jnxJzDOq8OK5aHqQVbhog9zgnoDR7eUJQIU3xJzVdn3olwjh1RjwrwDKk+f2ctDhlJdv+8WpwCr
2qEU8zwz7kZPsfbAAeyV4YKV5wNBVQmIAC1G4maRJ/N9a5aAAcLWVWIVIPoYORnkdCMEfJhBA4wA
iFJDZ7+jy6cAycemMqb7pB+Y+CHsECOi7kJDgEyxDmQGB6eLIflsZthEAOGKiSov2lcj3O80XLok
Qsz9pxd589pr/hmrdCKY4woIG45N65n/eYCjTlenhk2OKMPqfUP6bwwKpI0lwGXAxI6TXwUxAFsE
CjgCy++NaNPlDsyV1sm3YbLyPFjXxPP927dk/4qe4pawirWwYaLkFyS3pzBFmdkz6r5t/JUzHFU2
5YLdPF/RuWTemhgihWtbcmpb1CsJTAuQ9bPKYauaCs1lSKxav1pSqGfnhTmSmO/WKF6H7VrMvIpd
36/J+oBwr67OxJo34npdQX8kuzJwO/IREzKKDF5DC9i9v8eE/arCQsLAIlPcBz5osEDwLfza6Y+S
fE6NvKi+mRNA1g+QyYz6Pf3ter15e/V+HbjrCzGxcAF6egzFfa7364WWomyCVczRV7omNmRMVUS5
iyKiyRc+k3q576au1u41i/AK9KoVElDje4R1kMF++07AEPz83ek7oZviAIUDZUAb52S4YTnxYgZz
Jr6Ond+Ka08tGdjelvmhdM7jTqzen8xg9Jf8P+MU/ewEE5eZDZvQd37zwLFJ1Dg9PPvrbMVd6n6z
FyYUZHdqYC/EdaMfu6A9jdz7249q/f6s6JPbpi88BEv4pk5WPWPCnU8IWX7tCtcr5TENouq+gOPb
oLCI0G2s3s3BGpnlZZ1SS6D8OSb4LmSdVAhdk2JHcwSvPiqDW9BnkuM4oRtSXOZj3NKgGCYXX4Dj
2zf925b0HMGwx9PzJ8meOblnw4oNWK3SeS6GpkVRuFmUlk4fmVwgI/pPr8XGpyst0AfyOClOIL6I
66Jnk+XdM8DmwV83mSxQA2eMlLIl3r7Ub5vA07gVV6IRQOuOqdKvH4AV5L6NcUP1XJGDsrhI3Ob4
RVgL3e26LkXtwGYaa4TF376u9ft64tzBNNFH1c61Gef9euEIaOqsWs/4snoMztYwgM0zwF7yFSpo
oeUUUGqPfCa5fEJmA0mBbQNlOFD03WZ7vEtRWYURgJz72uPsZWXUWpXAk8ArF7fzt2/fLW/65GPh
BqX38uIDPRk93bJePKm2HNr6S+Ij7ClQy1j69aaDuc/7WRczXsZD0CnE2RFjTtkfXQXA1IDIuiwE
yyB34+WZd1lm3wW2SvyENHK1dOtouYBFXwMwajpEF7K9mHw+DuBYwACWaHYwd+s73o42puIYBl3J
tHKTlJEO0UaHV9SytReE4G9huPTzp3XRKcSmmdeItQDfpomg5ppqbVXbbTx2bJNM6XyjhJuV38TE
AMcCGBp16w0bOvAeq7Tii2txSOAeKS2DCuIeTLFHSCVMsnYDgxacUHpHjne05LAX6DJ+Bz1eKLAs
SZKImndmJzNs2E3pJGm+hBlASc2g8PkZDqK1WQazbUkqBk/YX2Q2f1NYqdYESlFWLMXBG+ekv+0n
qcFDSzNry4CudTNcCrI44NJ/aYoyGeFqBv0pce3AsG4+kZ9DBYzcsUmvCrfy4WhY3VxdJBAehvMB
Kjp7aYb2ztKlY4pLgw98g8MS0y99ZoKDtQkiIHR7pjO1WymUUn88gJf1L0ZCEt5AtjXNSKtie2bF
9gPyqgPmD8la8JbaBSiVaimBIWm57b9+RkMV1u6cFGGaJGTL1VDAnGT1WIPBSbU7wKwSAjHAWJ4J
Exe9qm6eT6yc56uBvzBNfZKfV0U7AGSyEmCu5c4xJFnboiItfaUW2fB4hC69Xeqg59RykIhl02SR
yMr3Ve/VEraYA1xXbJAEsPmmRqSj2DUxCry8M2dmYv0dKoIVyX0f97nvnBvunC7PTQkORoX1PGZc
3yPeW9EHvzAFa7LKwS+ms0hUoxafXSuduwGgdfizRZAt8hBZoAQK1GhGV8iUo0LCHUtwLtxduzov
Dkl2pPdv6zQujxb7TuOM5wGkPH5KvdQgoLYDk1B+BapIEo0h6vbc0sLT85vTkOl7cQOYQCIUjCaX
58VvUJTcOgjxusdR+NqgLitTX+dtEQPp9LrT1IvHdHD5RRg4i+b8ZG6g17hBbiL7PjAYZzlXX+o9
V5ACgoLpZzT3IR0LvUV1aj3eKb/iv43lF3zAkhIPD4xuXckykOTlO1/aZdXBI8lJxLLGafUnjRsA
P7RFdo834XXkjfDzlOWMd0wQUEgDO4DJznIcZ7PLyitN+eQHNm3Xcn8ruZje1U6aavYOvSE8sGa/
gLfGXPUOz8NU1/u+i45eiBZXkq17ZMz2tAHAxu97egC0FdnbBch6+kfrjbcgt2GHfsc4xd2B00Pm
g6MPiv+1YHhOgZqYfUHPTyCPk77DYyCN6N1kg37DVYpBlwUpSHajcZZ2ZpEum7lt+roL56LrjAmt
hg4ICSozoOieG9dPa48BGUrlSA5R38b1h6Ck04yiSlcHsx8KwEdTsSMQE252vRNn0OliNdRBwPz2
RWsX460+OUag7EEebfycMCueV+BcCLwSbBeeGaWRfKUJ1yZzksSXeZ0Mlrzu56DTmydF5Y2dCOYP
Vxg6anpfmgNqL+DcnRRFiIt6rVf+rLHHATHl1UOD+6FrKlZpC67eQkRqNg1raK5hQNmEXPDVA2+p
slxU/ugElkz/w6AxdRQcdA+GqJMiyD3uzV5N/E1KGMY9m76NdFzKzbGcb4M+0xkhZJuY8KTcWbB+
PYBncT2yinwLlt13bKixaZ2l1p1BbUfkozzi0rMAEhZfJMyiuLSLfj73T7jkOBoXJTnl4ZYpvjwa
6fqQ7ftBW+7Mwktrg0O5XYgPi58Y7rvZXHA+QE2h9NyjavqKR/Lrtm5By9g6W0HBM1+egQ5Qjfyo
Q4j6enEQ86Rhe8ghEDcYYSbZ5Bhn2MGsqM4Avo23TTRV0c5FDav58GoNA15Fe9KMyyS5Y3qhBqtU
4xDCh50NUK28o58OegV/bOsynfSfLS5EKBufy1knztgO6XDfQQxcHyyDXcmwTLZBO23IemMw/wgb
p3y5rh95EvZhYkl1baeE3W0XQIUDzrFai/gMOrRoP5jlXNz9YmMCuHbM96IeB/X8u5cJqlVp8zkl
5oKX/Dc2JlAx6X3CJ+/rC+V4kwL1+0dLk4JjFe2WfrTChnf0B0sTVy4FEyzVGkv/6Rdjk6xx8xkc
bmEvQEXe8DcJkDA3231kr1N98epyIvr8aoLdo/Y/O53EmY2kUSpFL8+7Bcrl5m/8TqC3Sy3/I210
3t5wPUGx2qrgdNBsTcMkcjzj5tUBZeiaNqsPppKwG3a/G6G4htutD33Frt54P9uhFIgatepABy5e
5405SiW2wf/FGwU+wAAiVapabrSJQG8e/oFDSu3ng8181OuXFWEGp3eM+Lq1eZjs5kf2bS4Fzl/v
p7is6a5OdaoPVIYhpfLup8VTyt2qaGqRV6hNMyZHQb4Ko6AuYqqh9mh161wT2dSMDKrFGUwfKwGB
hI+78XX62HKA8zkkqNwQGkqABISS1FjAhe6zpZhiZi0OxFD/Ym1ibYMFhnTk6PHguHLK9BUoMyYS
4LJ6tOo9qOPrBnExXTnIzFq52+XVUG9oylQ8elWHR8bBUuDHggNzH3oNamg8wqTXdWT2fo5pmH3A
JJwseDLJ3QwkzydFLMv8VB8akTHpCRmUcM/cIRwjVueIqD5OeMfKps42zsqhNHlQ8hKffhPigK0O
iGVhc0ZPkOFITaYl6FkgmPb65MS9Y+ZO2ziRXHuQq6zXDyPzFv4MTvjMD9P2ToSZDq9N7r/DeYSI
krtSo8gBHgbcUUWz1mqfghZt1vTwaj1o90Mrvkxootd7YWeyuozrbORY7JXSuVSlpE5ZkgCgfwBe
txK99X0wuiUPtuisQSEHFV7RN9hIFc2sbWC2HstPDNeyqfVLu0fgg8gp9eMEA5vEOoIu0x0LEYB5
gGfjRNo4U8VuFtSHJUU96TsEKhaWMJPpOxiwzWH7/LUSa4OX0GZQzkpGKquEn1iXcH/cbW5Viw/0
z0ByPA1TkzzgvVfOkfdYQHrPkUTVr5ED07IeKP+G/s5nEMATO1ll8Y6QQpBQ7as4H6fkZkW9JQo+
jbn00N1C2CEupzOXdHS8WyV8YoBOq9LNp7YF5ZGcKeht/Cyzz7QD6GQvuib20WMSjyX9OmsO0wk5
mH7r5jZZSoyQK8flCC+r9Y6mirvRv1n7xK7TSxFJk/tZVld/Bw6KKzzqmJNk3hWdqz8RBHN1wwsX
Zf5CNIIefMqsgtI4bSy9wZwIYxz70NgSwbZt/Hq6oi0Yc2gyoCJRDR1HkQUKB2UQLaWm9yP4/4zM
2mQFsu/RqsGsIb+v/zZZCcT3qfAlx6WVcF9QapmRcS852pI6mXeUvtvXzyPvPZa6GKaal9p2aPqX
aPg6Y/wZ0n+ctkfIlgwuwrJhLxRhupATZHu3dfXeLSo7qK7KyYrHHqfqzreGc34AM9VtAdCMdzsY
Y8m1qhXxozvzxWM76yydWoM1pOSLZZC2T2OLgUQJkHZQPcFlmVzn0p2sPq/Q/LPZZyV+m6wsM3Iq
NrD9+oVAsCS9pPDkPaP6s2LYOdnUTwJZB7zlZpRl8qcxsWYWJXrNfLrYHMk1utpneHRIZ5w5lt2P
ithfK5ge+zmOTaqvKm4cfhVTs6BpZCDg+awtG9cbABSmGUKqSChHEDXDk+DoC+UMd2ItHAyCjMli
/Y0k0EU3QGmdhbWzpYt8uNY6kY9Vzf6IuijmrfUlDV0UYn1jDcK0HZlc7xGUrHFZIwkhBqxWQ83L
3EtVU6frB7aT8Lg8rb1o1aFSEZPFUcFG7BNAtDNb/wieOqFUwXxleX799Kqx0KlVYZQBgsKYP+EC
te1HhGPZGEjQcptG5Cx6S0rTn6p3pjvPVcOCrLri9jB4ZiEn9OH4xFdnitWVELlL8rpMWXzA3XEe
bsUsV2RjAT4XR7+zqSk42AwX4zOgUCOhUxR5zY8J3L4lVmVNpTNRu7KJ4uH0WjXOOVPM5KzJRosg
RcI/CBScJqLzDtELXQW+FhZFtOqbrrEzWeKQr2xBn7X3VypeF3QEG50iyWT3T0nFQG4HZ0nf+lDN
nIS7ORmivt8Zc+XiQ6JojvAXwWOvN/gd6YDV8xphM83Y4aQvemPdymQgcTDSc+pZV+gQKHXkCOZO
J7qlletd+XbX6G96Rr7pIO/NQEd61mnLkBk6mOqgmL7MUa/rTACyReJt0aVsCpyCmHPzSt++5GlX
jTYVUBEPLXEXGUwSp1+7agtqzD7+av0XDyMWIvzr1ih8Q/cq/+mlgAFg1QfxzaZ5fuqfiYGiWke6
E1+Q/tPxqRauM5IUEqyJXW9f66Ub+HOvGuoBjVfHA8KIQdxvU6nO1Nwj1Du+zE45UMggsGGzE73e
hbQcJm2pzV9WlK3yp6FywWxsBkQr/CJUvU3dTRdCTzYCSl4de14j84/ZR4Uekk6RpAcH91IKSNp/
6rT/9lYcut2WGzA0pxy3T40h5zYq+xh9jic0SGfugwNKl4UcrpRQb6/Ub3vOod8NjRALCfqq/mnr
mDQqxdNTqKcg8WGEHaMFJZ8HIHH6ExERSIw/bbnTEYrFi5HaNp1rQg60T5rVbdM5fsys4AlrNh2j
kMujizikRPb3sR3oMysK8DckmVj49Tcc9sz2HdEOFNnbz366zExN8SehScuY1LN+c3Sdqn4epyB2
PtOToG5eEhyWnv1K6nL+7SudrrLtOSZP65gYIDNBOm1e5ySGTNwz6zPEc5lfgdzTpTmcPIdDPrF1
1vj2BX+V4GBAg8cDbWeGvJBMSZr0o/8kkdBDkCCYLO3nFqkidhDKxzrMERS1BXXUNnDiERiKlyQI
Ze4lnIxv38CLyMfPXyCpljbbxhZN+pJHP40sbgw1T8kKBjb+btWOWRbqDHQ9kiBDik6nLWOb6NRY
uK6O3z+a4obX65ZXKTAhS86m18X54dJO63/hK65xG6VaWF99TLHRqn1UxZwePUe4+TlODFqRSR+W
4zLUY43TIzyKBLklZujZtpcDzSML/9QpJX2jRbeDcZna/VnKaBkGX41WPJeBz6rTLgOtFqqYDkwE
7wwzPHIbbHz0Ea9Uq3h18rVB35HaEzVRm9dJE4qyLxmfbelkOcqQQqJr02EORnsszlo6k/aItyxN
lgolhfO3l/+3DSfR9jehK+IMAzTxNNgOVBaJYa7LpzppHHLWGKtXCg5wbjoD+NGyfvuS+rv95YUT
ahEoZEaDSA8iBScDGmZOi1adnD4FAKt5g0MaiPzKQ5MmN67B9GmzWbcIBoqo2cIJjCYsnGF+8+3b
OH1yVB1dk8iJ5zf/8V/G3z/t/Eo01cS7TD7lNe3P8xTEc3lv5xP6nHbX/8F96DSCAIHXBGzfFQ7K
Z653ssmFZcZporru86j9tx68TOptkWVo1lR/eC775JPmp+MMg+i7kEzeUCk9GSjG04yBfDXa91XX
m/42on2J63JMG5VKF6Q6p8OGgXfJ/0kaNuzL2XOCB4o1D8iloq1LC4aSR8/vFQrz5KFQYXSinsZU
KIkkCDwndYaaY+jOhm4D+L3Gjp2NvtBt4rxkOnI3GpbDwxnIGrlHOCp6UmSNpY7XFAQ5VCGU2NKl
2Fe1GbtXb7/ck/VmDWAUOiDEmUDi7XK6Bh4cLkhTw3w/lBiHwpKuGVXkG2Cp9OnevpRzsp/1OyV4
CQAXqE4RR0/281QreqqWG935bv1yLUg54jofG53qD4R6QtDr7L0ApMMqVHOlu6Q/fgXXXHcIIIix
uJ4LqUkPNApFpLNLVKimMyPHkGq97PhUUc+G25tPhwXpK76dvIooj1PMlShLfgz+mBbpIZJRZDbf
zgo1mD8b61K/8NXLuIrxMomXr60JyNO6x2t4iX6TMJFi/rEcCfz1tm9T3Vj+MULji2TvZsw8OPei
iC6Hs1mscqIF8vaS+r++Pq1EBWrAxDkKXzCAiKevr+EJRt9U0TPirPIRPyxPy4jY3lHkvnLp8Sfo
sLpzgJQrtnNb5UbVsbTz4gE+lwk+HslShqaxg3TvgrKASPrmPqJ+7W6KuRuTMPFH+5gG2W1ZSfN5
VG6nNqKFSRYyyxHvRi+qLxIz7a44kZKVaj0Z863RZc7HlTnyeA6tP4PiXgSmu6VrmD8Yq4EoT1/M
SBl3QXvjcirle7cwnCu5tCO6wUuzYyZePCRAE86RzGFKkKkew+MaDHAGPaL4DA7Au1jQuExRsW1M
a+uoVt7ZnM9PKqktpIdakdDCiLvugDRudTdJZ3hIHQdhNd803ApxNk99yoeg+1oYqv0g3K4jLYqG
I/IImKQwpABGyrxoDucpSI3N4JbjOZaWO6j/Iw2bJMs+Dr4QdM2jId/2U1vfwXGgJeZaWkjWMNwQ
LsOt2y/mFzzMus8I5rj3yeANYYLL+0Uuu3SHaGJ68faO+G1DkH5pdBqZCvOg39L0weuCOnfb8mtT
QYHABVjl8750UM7+Q/R8wSX8z+nE1qOesm2AGEFgcU6d1lazXeY2hP3kqzXVbCXHJopuauqAdAs+
FQaGXUbvU9gfCkdZDxy7gwV0cUC6TICr7kFDgWET71rRBucVOv33HEMd6QOSXg9lyZlu91WpNnZv
ubcw9qrvJUzSS7D98na0NSMwo3zbWDCLFbJI8TunDHi9hiwFTY2cEZU1BfSb2mD5mmkEZoYt2d6K
PfMJhUAnXKmr/lGK8LIiL6tPmqatq06hTDWtN9l4cfWVb2W+CWys5XeiQK6CT8YU92+/6F+D6evF
JCBFnWKRP59mgxEcR/ohQfVVmLIEnzWbd1al7A5h+PxqdJ2B2juuy1vGszL/Qy58AsLj4joNIA1i
A8Bosk9TApjH3ez6y/rVHfQuQ8w4OTgoLh3ndX5C0xbRTQMFgsGO8dxsWkMc3Wrx/uQU5ukD+pct
KDVY0wUPgmILx/jJgWLlUcn4IEHTecBUnXZam6Nl6clgC1lixRraLeejLHskh1JDlZjW1+Wxpm91
NSoBjh3BReMdVE73iKAwjTNYzJ9L6JkI7ObGFapF8hKu2KFC1/qOHmjxDvtyXC4Eg7ElXPuZsQs6
i1EoVSDfkzaONaSe9PsisvTakSo95HSKj2lcq3el1xf9to66AUnVZLg3PTu/NSptuyRma9o7dg/Z
20GY724qggSefGPyAMmM0ReUYUYAMmvgukjOxA+uZ/iXabK4Hy3t9Llh6ACh9O39pdfudG2hU1Hu
C6pZaetA81PWN9AS5r1LXItS17s2Gid7UCnst23eVOa1NVFL/OGK1q/AV3YVkioadQseCUIB0Lhf
L4nqQNGWHJ3fMpW557TNjBLTmsW4oFGZ7RlE9ER6L26/KscsHtJ47i/TNDBv8aFy9m8//e87nHsJ
gGUBjgKs/lvnyLEnQJbzlH/DmtKUmwBvjC/gCJY96kfVN7J2+XXtBm2HYHxZRjgF4BNHFOD+cBt/
syR4s5KYOWAjXarPX5cELE5XdqssvkWlWIat6JLlRqy4K1+mBRLr5ooFF/bGw34RKLgoFFk+JX47
qmMCvfzuDzfzN1tCyxCaQONsgHGnmNC1HKaxRsn0WyxN8QFGVffeLgxjCy4/veCIGa6HounPlVuV
Z8XsWFc9OHiauEU/36QYCwB5rXDuTo3B+Q42u/E2fpPmH96+yxONCr2LKBIIvhhqSjDUpzDOFnG7
zo95SfHMaIiOSx19rtsVY4imRAO3QbKd3lRZ4yjWe3R5t1kiPNYrTrd0uIIAyR7E57ZtLeQj5mSj
btoz/KiMLrnKRdodG8eZrwU0vbPYk7G7qWVgT5sOYT20oJVZItZj+XWIC7mnDgYbep/lvXEVCDTL
NjShjMuX17jME4lIhivWPp7Iu8LaSvPLkgE9tYBTom5UNAXaeJCmmL67WfHgjTQVyCK7D709V2dJ
WTi4u0i8uYkhDPpCQb/2xgnSimE5EE8IDDMTwV4URYxmglRXkwqgOtWpEiCifTT1z4AVIYBritj+
iJNb+ojefv/dTW0U8boxQ/Lp7bejxTNPwooAwenxiYOZpqg82dBjibx00LjDN7reTXzP6eZ1IZ1E
HEw66HW2GFE6nLoVczy/9ervyYpR2GaFEzUdHFl3D15QxJemnPJ7u0WlHkMZqCEIbRV8DHEmQ7cp
UQd8uev/yNrcLerb//9//1b9FMQHAenfq9psvxVP01P77Wemxeu/+UvQxkPsDQ1TE0AT8M0XPsUP
QRvp/Ys2FoqotBXoq2hFt6rG/RDp1OBf5K2wp8BFe2CktdTNX3o2PvQMeO0g2EDl0tJ1/gnTgg72
L7sRfDuVGtx7kgiQ51D5TzoAeTYmfDdBc1zEkjyiK1apLcMoTuJ5hT86y7bs96pZbooavAXmVGNo
mshIQr7kqx7TKtuszmo9RumAeH1V5SLkQJq+zb3Q4tIc434E97uI+5uKCcAGUbfPrtH6WwflqX0V
IyO2OCaOoHOAhw+LmB6j0vM+ZP1UXc6QRa+LzIMp5Q/mepRgGVGuRoX/nAiYb4caxxlsvJk6J22z
gdPWXsygMTaixOXQmL3sMHFzNlmFUGdI10RnYPz691UQu+e0CT9nsjEe06I07uKmEhsXG40DxK54
p8CibZTfqXdo44Oomrvb0Y+/ekbOQ0Y8qZXYt6695PsgyJPt4jmY/2JjfAD+8F1B3EY4J8DBoqKi
3uF4gSx104PWWrl6Mtq3AkjjJpX9VU+0Q8HGvk0t/y4ahyvkUoAUk+JMzWpdzkxQ4MBWI1zTSf8H
OPpSXrq+eqSfD7bI6udzIHOfA5QjNbVyo/ng+ZJ/bjzN/a/rDwBW10/wGMytovrbUhUP+8FcxpCp
VMgWvJudaBdJ1NEQkde3AADW40dj6uUcACGY75zcMPbIldUf4i4oHuplcB+AUWI2VxUqRDbGwUXB
R8ijp7BNTLxOVnWD4u8K9NU47xk1PdVgCe8U41EyZRxVQkcVO3wdsVSZQN75q7/xvb55hx54++jm
/p3o0hr3wBaQRrdAX4twgFiJp8egET7WZP59sSoDR3dnusfOJD534Z/IUMZdeWsH0fBsmCQFoWxM
57bHQO26TJsEqzGwwD6ktmbdFUn1wTFQFaHz1CZbu3bed0WP7pgfVVvqZEa+fDmbDFzuNqEJCwp6
boJDyyw1P4uVhWFfuqDnTiHKzHDEuMm25uGC7lU/7KfW8O4l08MLtxTmZ5cH33YL/mFlmuHEAGix
rvcWmkHtxgEdcwHMz+vPaqjGCBNm/fId88vVQFQIe67vSyCnq8JuSZRjZo27AgIjAoucaKrMrNfk
4T+B/g+BHgITB/G/D/ShTmqf+/R56H+O9a//7K9YbxHQyd3p72EDxKiEsP1XrHf+xfxEmvBdmIq+
HgM/gj3iZSbDUjrcZJYvmmf/Hexd818EZU4IJLO1P3pg/ZNg757MT7gIgyK0q5jJWRAJzNOi1UOv
F9ukdETnNrbAxeOUkwBaYITZPy4i/+LTZcAuk5BVAU0P80x0m3le8nPfylVo9v6dP/r5OfjA/Goe
isvRd3FiMgQ6D62zKUwEfGSGLiEBYiZiV+vedUpzC/3YgSXRBHsVGOCZ6fyGZIy3CrDzFilNQFKu
n++sRs6b2OKasFBHpI4rrglhewsL5XEsgrsBIOimUTVDRC/7Igxlgnzmr+d4a4UofbZnamwfkeRW
4eqNDmaInrErI/lAw/R95lhfxpbLA314LOr0Ox0RrJywvkac2761AIcCI+B5hJpxc2ybR/Ff7J3Z
dtxGlkW/CF4YAtNjJ3ImmRxFiX7BokQRY2AKAAHg63uDtrtkVZdd9V4vsiUOmYkhEPfec/bB0IH8
1a9QRPLxqoSODIRmkhEM/9R1wYn1vt/FikMzhvEu6SVN07x4ZzYxbTyPQ4lKBG54yy8tRw6BKJJP
fAQOgxmcZKbUNu74rtHkPdBYBJ5AhttmQBd0zEXX7OsSR7LXeny1EPcAifvd+pO5IOQqC8mGWuyV
TDFzCBqSgXduby33SV3eh3M57krFS5bMla9cwTOm0o69GxBp0yr0CmjmyadCgVSLUclvsTe/z7Ce
2dl3xADGM578YgYeyVbzW1waFschfKJ33u8+1nyFbQJsKTJm0QcsqOYIByYP1RMZfgUxk+BFGGIt
e4KLlqMOOHqO4kW164NMN54+LpKsnQF3iFZtG5/rwJqdezkG6N/MkMhfa4zsgj8IDrsfM95Ukhfi
5BhduLfQHm3rRE5nPwQZPjbrVdTzvRByL5myAD7Wyt756+bDi701pYkLC5gsvh3XvXA9v6Pbwc4P
VHdT6uwr5jTO/cLf8pguwmgZ1Vb3AUYgJFuw/DhKyoIyYvvNckNKcRghS/nycb5lQnbNCGci6jWf
FzlxuIp0OPUtTv3BC8qzaSXv3ORc1Zij6ZtydQY+l0q93gtJ28+fypS/osr66kDO23DnQSdocAEM
HC6K9Kd54czrlvvEB1p91tRVNymMD/xK6ouPoxJfAWc4GLiYAu7Gj4NRNdwU2uBbm0J+laT17WLT
b894mtwdeDO0V4WKzzN0lgdybZqI+oLATOjkkYMscI+QGqYgAr6t7ASH1Bx5D0mqrgJlTAeYRda1
08ZZ1PYL2HbSaSPYK8Sy5hXm9ZqrrOKLk66KGx7z5tYxWQjYD5bwIZJyZ3KfmOWY3Y+pe/m4vRwk
2EfTGmzCY+DnDhBriYEEr0M5qbYCNdQ5Sc3qMAEF2CG45DYsqDE/zi0l5qo9qq69kQ1hYnEJVE0b
RuT1MmJar/LFL5Y9+rvwAIej2M3oHPeMJsotYmdw4esFsF7h3OL3mVjY2cwsYyFxSTuxhMvx4zT3
A2HGfcdlBKyp3425Fb/iXTSObspHRepDw3ywjGMcOqxe5EJBQuAUWMU7QBnmCw53j4kZNgKRBiO9
suKz2Q3VtZ+Z08Wd3EOg869IwGe2tGx+48Jen/XcEUjMjWPicp/WQG+vgfWHe9/jIqukU10bxLdF
C8J/1l6JcYHFwVogzEzigNaEJHEUStexpcdIKMeL/N50tugQ1aa1VXfSHttbvyK0acqkeYTC5uwM
vNVspSwWN82p+xDJxoN9n9ImQ01WzYemZzFBUwimEaZqFI+8Bfxb3EWIkI+SuvoofWJ+PtYmO5zs
3cdNSw7lCJyH3bbVp3duxyXRueLenvP5gLk32LgAb3jsaC6mdmpgwGacv5pEH3qBlAOemC6DX7yH
grgfXCC88nqsoYUW20LyKweL8yoqAMRi6tXWQEOwwd6JeLQ04jsbPsYWfU55COL2vfX5Zznk2JBW
Ml7GeiKMMttbXfeNEYlLvwMMcN36z7ImhaAw0jtDDxd/7WY7OkjOczYlObMzVVpbAIokrKMaMBnZ
GbAAl3L5lfg6OW48dgTeLgwsZZDr3eVf7byethZ2Nhfhqv3kJmRzMuNu8psZ78wZ6SinkEhNoIbE
Y4phtwbnbNI66+/SRKCfwaBWwrZCawlXei7IdoeL26kd/JnGiry2Nc5NPLySoFe/qXD8JjKzJl/B
mYr3oHUMbO9oBRfF9GnSR5Kx6j3xi3gTMF62TtTkJPrKXIzGNuFRtEV4Fd+gLF6MfemgILyQUBH4
MH+Fkkc0473xBcvOCAUyGcvrOA0ddIVdaXlROxPkdXFHLJG7xK5i46GCjHnGN/E3fbk/t1Q+9jXr
tJxIGtpucJHYd/3YqS1Dw15E3Q1HP5vBeizpO04/SswqeMKlg82r564T2d9Kwv7cDvz9dQVOqtVC
iuTnp+I5nKkAw74Zjpb+WOy4B52seKs0/RcM7u8/bDjvfus8/2j8/7MK4fdXo7Xn2RimwbT/9GqL
TsgrW6rhWM5cIOtOICxiY5dAstr+t9vzb1E10Cxy7fzrKuBUvWWvP7H9f/uZP9iI4hea5mvrfoVg
fATW/IEvDn4xA9I2UQCsRcKP7R5B3eCGFAcfE0VmluL/KgDH/8XnC+uPUQlQQfxHcH8h/iz44Bqy
UJbw24DGcM3+k1BusFWaLTiwTiSaTFunLctXN49ZUgaWIsZYZNwQra1InlMIrzXxvTznPbSNN4sX
iymyLCZ6sZmNb/5gyVviJatfQzOnEE6QQhPOSdTpdoJQs5ekjPwq3dg5mZ5l33aZ9vpNPnbODeG2
wcIqLxHR0k/wDpkXPPqkpz900zDemuOrrDtMfSotnkl0IqSkyGB0LGNZLcyTmumVQl1O0OSJq6NR
jLx+O4UVJFEH436xa7y2+JoahUNyRydZome7i3c1WtsTUpJJQUkMh5tknuhbMORZxNbt7ECQ+UL9
FHUQiin7g9w5tCFsoRUXl147uT8GO4yYGcnPRE4T62kU9bdGNc1LDeDqMsD3jwanVFe0tPS3QI7V
i+gzt4zoG81XCHvb+7nJk1c7tW1Uena9Adm4Hwe2E95gm9GUBRob31TfuTjnYPwFdLIIztX+AdJs
cQkc/HeidNhUzwB8VH1iMzgQC1QM0VgN3cYTawRc5t9Z7FDtTe7IbxOPJhoMMriDPdHAzMr7R6jp
CiCgQr6vZwf0e0PWcGWsFOQ+8bc5m82rABVbfFqU1Z5HfJhozBI3xG7ntv51YEryQLFvlc/4f4ZH
4mc6KFeWJiG1GK0vmV/EX3qD0IFGwxIm14GUvMXON2jvPLTWZMfqKV6ul8QaPmPubVpSfmR3rREQ
XqVBMMLCChdG48iNCuYRIr0dRUWkK3Gj+bbSIZGRluWPN6UxdeRdekPx2s55uUvU1LoHnuO1hPKm
1a+ABoEe6biFRccGLKEBGVbWkYU4e0ibwvlMTE12Hy4ur4b0pnu0GhtBLOkuV5aNPWaTDnV6NJw+
UZu5brZ2P7ZHQhiQlDJ4iDyCJF6MKunO7G3D77rTfoeTVTIPIdA6yNixt+FDmHu0TVWPG+NLnjje
XSpwtW8IHadYDjFEfhOI+TGOpuz2EpMNSkgZF7XSqp44j8Unban0zp9ydaOsOT37nU1ChQVOEJJT
ReSCBzNry+VaP2FNNm8T0nvY+LR83arRSrWjGOoV9t1c8sqvM+xbkrv8ywSuYMXr4fAnCbkA+GY2
5xAyGv+pK2uVXk3hOOfew2p6NcvryjQn/G8w0Hr2w3rQm3gklhY28ujM59RN82OrvTsryAtENv6C
6QRc6ozL43EChjruFB2DlzgOSa4pydHe+oMIVVQ0dh1VuKgeB5Qh0OIykNNryzBKq8y8CPig173r
pQfRIqNRtSoBUs/JDmNTsUNdzKXI/fJA3iczymwcy09TrB157Q09Wco+MuAy3IoGVs+jWJSWHWNk
rP4061rjqIfuWSDHvjeKAMr51Dn65HTjeUwq76ZGiXmQPeRE8gCXQzPI+Z40JBuzaNlS2rvJKZhV
ea87p3soNXRvUeTZPnbCckehKLfMNDcyRtBhQWKnVmbkRtKk2WfXY34mcYnf5BgtRq8Y22Bmv3hx
SvsvN855bm8GEJ8bPBgUUnhso4mU4OcUae8pVmS2WhwWTB6Bus1M8RIODQHUMDh3iMqNm3yx4mOy
rtbzYH6urL5hHxlzkue3To1X/cIxjHvzCpV2P0cojcy9qdJPE2mcuKbr58Cfyf0Kmm9AIMrdlNkP
uG3DbdyXz4nT3Xo6z+/6tvoi1mIZuwybLnMvzfpxXC04ksDXSJvEVZi6GLd2hUOLmrYJjj4J29Hs
EWg2jKr1MZ2DBc0sde4cdQUFEQxDGIwHRARiS9eXGSUaE3Pr02A/gy0VGR+vWV7Auqkbdq5i72mL
gmMQVx5n+9pMOptiZ6geTLiYB8OtjINgewpqsV4u+FLzmOsHJCpQhua+nefwwVk6mveIcMp7ejb6
1gu7N79OzXORJdYVqbPtzlCU2wSYTeTVEGLDPD7g8ntCPp5sESFBBJlce7cwpN4mXjJfSnAXxFpa
3Se8zkNkuEJd7DC7d9lbc0sUadThmLnIrpBRR3jO41jG8b1rx2IjBko6tzZJt+U0wawCuW2jaS+n
+DVVpF7aja/v7CmcrrJOOQ8embGP2K5k1DveWYEVjZBusfIb5mdc++3GNfgjzYGp02NkI1/43/Q0
qoeAFPFoGaZ578xLuB+0X757pHJdFr1TwzJc614wP+kGJS6sMcY1gFsfZG4qW5DqFM0tdrErZpEO
rSK7OeBfSb+JsuTeCmtF26QYHrgIS6h5ZnmXu2tiaOX5u8wj0xWF7Z0vlNj2dt6d5OI4dyVkoK0x
zM2tq61f3bHzdi0c4kcZFjZ7d5/BLJyFvdJ0hLgyUpj/7Au8iMi0CjCq3RkbwDkHq+myK2P0Qtx/
ej5WQTadvJ5HJEZ772RQkVj/3Sd//7f2yfSx/2qb/D/l69dX+fpjoxxaDT/yj10y00bEHOvoEX3C
DwTxgPkmrW78HNAcLP6k1vtjKsoo1fSZSGFoEpR6IZvbP6ai5i+2vUrFXY+5KH6n/6xR/vNM1PXw
3/Iu2MMzYP053TRnH0CrRBjHEBFjzmZtXo4D5e7fVK0/13O8WUJO6PnzauY/78UXS9FsW6BGqkVY
WGUlN/5gBreSRfzvZDQ/V6q8Ftp1xxE2kC3o7esY+ActE+cipxPgxMfZqsNb0+vGG7aEzlks6PQa
T/6tlAk4yz8dRUxASB2Qp1F1+OYq7PnhJbG9ua3lw2vNWHuTTdzW/TU1OplaqEtqNwpQFD3D53II
CqR14JCiUq59IDqV1QER4RC54yg0z46KkOYcIylYEvSutDrMr9WUdfSZVUgaUxIe9MKkEH2QzVx6
qs5zZ8n7ssAfWDLu/WT1XsXeho66EcvsEjOIu4gkR43nJFUK04dY6ixR8w7MDuNDQyzfQ5y9JA6K
7tlvkhtzmNnO+WUVAVk3j4sNaE+gPg2iNHeGe1sN8p0peH2LqzH/ZJsZrTkzLvc0xyoCw+WIEbfS
NNdinhcLZt1gNOtNB8MEMulEbEPPE9C3+vrSNfhNekxmr2aZGMfS0+126Qx9bAGjAYCdwhjuumHX
31Qg2eUsK5SjXtIBNjs9qU0XCB7mdveSFUao2dKknY8RzZ81JpGXEPPSrK7Tqsn3PuLJit0x13lk
pjWgXtOR1VcYgc1LPiTB55zV9yFMzDDlca7Ct5xpONku4ToQkfYMV9HIs2nfob6Gg4qM72uRlgE9
rUqUt/R2Awobkp+vfXC1VzOqmmfkkuzeyOra2oxkzyKHFUNIS+7eZo71kE6ZCQefyMyUAcJOYW5+
kX4NaWMy+z0TVgPKYu3Jt07K9JBW6be5y5tt4gQuNVfA3tFa4AHsFAcnreLyhjwqWO2Obdw7VbZc
mwvMp42arALJ2mga2wIYhrkxauNReJl7gmaNcUpXuLBnZEhmngxvMO/6r4W1lhdLshDJYvRZeOYQ
KPw/3re2p76wND5ysIUbIK9vpjPpDaZW+ACgugsGPqEiY7yN4apDZSfV2pDEtdEXj2rMNlEYUxT5
TX+VG51gHNUnc4T3MH91AxO8j+H/ir3b2aa1N+8mfIEPsS5tCnJ1506a7U9AXhGXNncP25DxximE
TUrQ+H2SxKSw5+hvCrtavvZTDfLSb9yvzVQUt2wc7G2x9P0DY2coPH3wQK2S7QZ3+WIMnXOxF7Il
7XlRF8Nflp0OPf1IJTdEiRWO+1mK+0rLz74T12jjIWyPAmjuiF+4gjhtUxkMCMGpzKa8hNhCWbVZ
VD5ui0QW7s6zh5mNYNl6y3UAzGc6IY4HAxOBxjXNTWyQVflcKC0QgE32oHTCgajb7TBjnnoSXR4k
PamZ+RSM+smfsSyHliKAxJ3TroiMGDLixm1NbxP2QVUd9Ahy/ctkiCTY+3Nhk+kbaFpmWYngf69w
SLdik8je2yeFXpKHsXD5TqfJxuTitd2QbmrZVfou8QzoT4TVtSpld2aMNe2OWLsvdgMhKd+YNDix
VSJksZ/zQRvuvp1w+rz5CP3xxfVpb6DUaJKhe8T1UknC6UNVvBhuUzyGo4SMYa6K0lr67nEEaPTs
x7PRgfux43mDR905u9NIUaCXEXUOe7vw4PaOc9Z2TK03Te7RlgZF0FTM2byVS2g9gT+h/aHa9Z/9
2CPeZx70N49WbAAHFJ+4IIv+VNNfYFaFPnlbDKU4Ncqszhmq/10vB6DKwI9QwWGEq69aIVTLWMy3
9sxp8eh3WYW8JeyjSpkMbAA+Q6CmyPt16vi/lhTAx0WZZEKxGx+a7ThqeT85ovkuaINd80YyMvxs
AW5mDuWyHbykxFgI2+kUmGV4W7qZ9wofk/fnlKO1hzEk70H7oOcumIJVES5TvuYavXy3g46WhInS
smRwvWwD9EuPiUxRZyu2ERaLB/gC7tvyv7vAf2sXSPQ224x/3SyN6rLuXt/qH7eBv/3M79tA5MyI
45D10o30rFUw8X96Cew8qCI8wSYE1NlH3/OPbSDdUrSTmC481JNsHVfd3B/bQO8XrBjEhcNJdNlC
muF/pJf4s7jeNfGYskELQx8fKUq5n6XHJqRysHqLcUWoYQvckWzJYB6+dGMoqu6cmyBt202BpCPN
D8h8eYhcU/xLvUvg0rp+TzE3k/V0FmEcFM5NZdg4epnu9SRP5vhmuHvUYSjyfooPBVVpll3DeBwZ
HC/8K1acuEXdLFDKj4jByPoc5DCl19Yo3XkpNjrwDWQVdAcoeoDFn+lKO0NUOHplnHHTjuaLXXX4
TGsPrub8mKMowwgWCCS49+DRhzS8zTLGun0o0AIztjOI3B4q5LflALtgZt/AcgoWqSZdePNxLfxX
aPQ3QiMXt9Bf3jWvJdqTrsr+VD799lN/3DeW+MXCHIoIdLW8E5z0j/vGFr+QEmyirmPrzP3BLfWD
zsjysR2ajI8ga61lzR/3jf2Li7wew6CJeJXxxH9UPv3kYnDN9dYETs1d6FCp2Wtc8o87fyIq6qYd
humC5iTcjRoe6Kamg86i7evxno3cfM4nkg12pln0hJyI8VMhaN9uVFi1n384ev/P1Mz6aeSxvhvM
u7iRmMkgs/J+qkN4rAEhTAeU1W1lXZKCMKfN4Nce7qCRcTPqcjG8+CSeZpCOA1Tobd6RBBwvyhcU
KX71Fva9ecvvSIetXZbWJ2RFgXWYPTf+DqPWmvZ//Y4/jCX/MJ58HD+BlYd1j/0BleFPgz6xOgW8
cO4vDt6eZOvBBPs04gGCjkiYCpEd82Tl24zgCHQNOA82c2E6Bzl2s7Xt4OS+rS0yK8Lw425VnyEK
7WXKBtXv3CLZgX5K7zD+naUKSQxYp0/PdIuuCqSY046hineTdekoD3/9qf75NLD6oAy2UVPB+P3Z
TcNKkmijKdWl6uPwuU5QzyGIWkPrGsRmdwCiwscmtsovf/2yP1WhRBr4NBGoRFlb1z/Wt/VDFeqa
UyIalVSXKlisi1Wkw6WCKZMFcfr816/00xD645VCNHW4dngy+evD7MdXaogfJt8zrS9BY4rXVtek
XcU9yX2bokl3ZjuU9MTNGc1KDlpP/t1F8/PDam2YmNAn6AF7PEx/fnnfd7I0qShv18yFVwl58rXg
+Vwe3EWqnYeSdDObnPqDLtuP/Kva/96XoTppxthIKxyIx1SvdRHlfiU/OV1jU3cE8/y9McZmaxqL
9JnU1AKgk4MB57fHwb+krf/cLuDwoYVn2aArTngcrt4/Hz7TG9zKdWPjxhpi+Qo7VCUbmoA9sTF4
rqrkrOEMfk2CsLmeljaFcyimLLKt0X/vqVHqaE4TvA9wzb5nneO/jRCO/L+xN2KP5138eGv6K4Pd
gY2+Wj5Xn/6f36XXEQHVpb1zk4u2icNg2zMjPEz9RJhxT9UTdVNr3o/YbAbwwykhR1Z1oB5vDiWR
dFFRtvKhKSGVoUjRyWedy/o0K4Ytjds2n0DWYcLHz0a/YA1cznonZ86Sq+qiGxKZW4P0n4QaDNnJ
R2SzPaby6BJv/WDnyR1JKQxBy8FvL2xYnnrqAWfrrRnQVjbbrA1iWEBj6iC/hgEUvBAELs7pmiG9
fMRJazMVkl0dg1Ki6ujg6zV72lpTqJd8YtjZ9o+DaRBRrWXvsxlvBxLTbPsJabUuDrFvEGwNSjb+
itaJuOuMfvmvw5qB3TTKPgH9bU5WG5Zv2djgGybHungEuz75m7ElTRs1NLnQHIcDrsvwttVyYkbZ
tXvLmojiLpHIJtGok6CNxjWtWwLM2A5NSJIrglEay3V/5FFj66has74DUI1fJmmmVzaksUfX6ckE
D3PDRlYkl9fAq7udMic0jAjJkr1Blu0rvG/9rpI1aHyx19DxKrEJIJ/WLHJHk0o+JyMB5d2aVU7T
Rh4rvpUZ5BplToj5iL/rI+LcjzUVV70Gn4s1Ax2OCHHoHbqkRKwR6dohLT1Ta3B6zpXU751e44SY
HH+69oplKeP7Qbdw0JiHoXPq3phB2/byorQx+bgPQgRcjJ9t2Kk9WvChH4bGvPRFj47nHGbtchhD
+MAn2WWUP7ld1o+mbzinfHbYIQ6cA4YULax/TpcMAqCBMc9D+k6a9NdCJ2YEZ8yKb5FdeX59LGZf
Y3KYyrDHuYX2K9nomIwqjTTNNfaekebxLYlPjgdGK2joQ1lOoeS+KrMuxMTFwyveTai/qA3xRLmb
OTYrEWEclVT94aDjvSZtkd4NHOZiT9qQXKJgcVkxK5ugvkimABI3I1YAdacyQ8IcTLLg3RhGxHNb
s7b7QyaCIbi4RHvH58rxe1B+UQVYa5mPymR1S/F0pL5ErzsuLQnxqsr2c+nJ+WgqxRAecXSJ6o04
nPLQZW0G8NET9mdMswueS8crkI4V0jRuy9w0UGn2VfU5RxsqmRiGPbLGtPceEGo6zp78d9u6SnWq
aJX5qZ32B4S+TfXIw9g55wlBSnCXeAe7ukegS8brBLoN+l6jb2RACu3O4FbptrEFDa9DG15u8VgQ
EY1Oj9OZ+UQjbyqimpfvdApDkud4A8wbZ5m2Jws68TFhCk90asHYe5vVWbxdhrhwYVp0TXiXxzoX
ERRhRpISTINxRa9S7K0mTlzebug3OybNS31KM0snuyIUKdnpfB/NPzpHXD6J0yLtzIwP0JIBD2iu
Z4PpKxz/C9rDjIS3YBSG8wS60x4uXhOSI1mFbX9DdcEjKVF+wQ+EEq7RPiYXpHphXFSl5xZh5sSg
x12yKwvQ95PIbffVnWLM+wEKYQQb1eQ7O6IoMt48ablyW0LpUxGUM/hsWftS0hZjBkaE9KMCQPa1
6VLnOPo6iXdB4Zo2xIeY3+OWdT7tq24EPzc1jrhXWCGfrN7gOzSBWAGYhdkn1c6WeXbsJtsmcxN7
iX2bGX74XJntenHmeasOfqnox00zUuiILiznJtUVb6xWLLpXPMHCZ4duhtxJVsluG1jhVJ96Fcb2
Xd4NRfFgB4jpTpOAt3LTT/26+SRp8c4FQjox85S8dF0vCx1GW/bLwSz89cOvb12zPvG+GmldhFvx
KYCYcqhWmjdpBgWz/6gpgeHdV53PLd8xY39N+BprKmyB9LYF87Dy+prU5HTTuxpuJDpWtcnMoZ32
zNRNZzePrb0uGtxMEZ+IBWQKrXWfDJ3gGTNPeA4IGcbBk7oF1wWs51eNYRy4a0cz1+knE1EM29z8
qm6qIn8MeFocVGValzZM2heUVISBpiLN7HMdJOFwFdO2Grdz57eaDe7sHBqbwxqhXp6/FWXh3k2D
MtGqY2IqPmtPJuooY0O+M8xc1xCgSvh5cCSRBwgdRO2Zb4SfDTOWe6mbhG64YJmbO50+ZATpXCF+
zN2ta3d2wrIHVmUDPit87nJjTHalXXGbLIANw5Ooaqv9LlmQZxwRXFI7va7Yu9w1OKITs5wdDxnd
XlndQHIx2L1+5EnrICXxuzb/tQvxKhsg163zEvad9daragZXsMpZTplGpb6bpJUukdDMkk8Np4Xa
vgg9LNfj2N9Ms18+5szON4Gvjjj7R5JsNe3UqIBNh0QBNGJ9U3mTuDZ6E81q2lZyvEoA14L3d5VM
n9iJqDczXJEFLJ1qJI9HaYW5ewxangJz+0g+rpV9serFCcbNwg5s/oTa1wj5ZaRjku9oFMnZiBv9
lS4GtqjSR9l/wvNn3ZO3Fi+HbiD1Z5ctAxcpCoPcuZvIZnMv0muIJm1R63uAY9NVnsDuRu3QaHPW
dFAhF+kWX7J2KAW7YnIgxo8lbb3DEtAI2RRiQqA0xzNJlHGjvPazdmfrKUedBjyxy8JnrnWp7ipU
PiywdhPm+0Cmnt5Mw4tNal5g0ZEf/U+uXbUaM0JCEDqNj2B8aGNILDzcuaJ3ePw5mxQO83SdEWbN
BKNrUofBu1l6p3iqQz7XNBnJTdEZjd4C3mHNoKE79DclIb2UkUjh9ioN0BYAWDJPM2TrjsgBz882
Ik793wBG/+2k/E0nZcVeUM796wbkqdZ/aqL8/gO/d1FC8xfLpThEbun4lI2/6zRDj3RrVoeVeQBZ
yFsZTX90UJw1wpo6Ze1ZrjLNf+g0cWo5TKSZysC+FJh6vf+o8+is1c6PdUYIJ4rtEhpSSkqfx+Cf
6wwyB/ux8rPgbJJwcWWQJoYhxy4eJghCb7Ial5OOe4HhsVwDBggIKC4OTLYXoojgE8W+Mu5IiWIw
lzbzeCecPn4uFkQmVy2X7re0z/KE+FwMHFFcoUKKSGlJ9gPe011MrPDzjOX2fugahyRnHsnxOc2D
8m0cZ/d6bIfgOZ3qHNZ+2QUS86Nlz9uqnlYdij6lochOozuWuzx12gHlR+hmq1PBe0MKUH6vTP+U
lOVyycNp/EzcknhAxTzQ+x+b+L13FnkLf+umKAfkSHOV5S+Ev7WveDzHz1PSysgmVe3dAGmMOylx
YWR1k88IewwRns6OQm+STDeL31mabbKY331pGPd1lWOf9WGKXUbDxiorGt/bJCqgYtG1I67tNC/A
wCNbCTdka6SvS5NUzF9jtXPHOH1h85FMkRPI4KB8es9sXrzycbbS9Bbd2smtCUM+ZrpMDskSBmfq
9PFg1uwstouU3qNMCRA+LORd+ITfpjbeFkKuiagp0NptK1GHb7NFGFE0B51vRmk5DleokfrIjov2
zOYNm4KyvGVj1zW5ti08q25BWOXmCKqwGjfBRaAaRX42+sPD6Mv2CIeRnbthKrSw4PmjkPTFOhKL
1zy2JXnD9AoNhpATBycsYboYTVUSehf75iZIlvw28+aagZ/rj19K/MIbb2CDc2WR/ZGiE54nrGOJ
HyJ+9GLQzVLnOM6q7rZiGBaRB9nOG8drWhC6U4qJJ1P9uc/J4IGwNSV3Qd+8K37LcDT7pc1wajj1
u8YJQbWvlxLmolj6b1WH+O0Yx0H5HA9Tfhqdqt0t4Zw7hEx742sDFAfUEdAsdhYucdtORwXmtM4e
lQPy34kN7C14wiR/bs0insb7xSDeg4cLDK7+4Ftj9qCx09xJmwDz8o2za2uCvHiYcGwnUaWGYm4M
uD27UAjJ+JKoNtxK2OYbS/Tji3a1hwrQsj8lAa9BRbzNy+WRXiZ7AxKSiBKzCEk/xpWF+KCO5YYt
o4ddkHTQuRfFXklypI3c6aK57iCjg37wK6vbMI2oqU6bdYa2MvDTYnUF4XYD3QNdI3HY9xbWld2H
1k1tWkz9avEAiOBIRLN7vUA5i2azwxgCqfxIiivHfY36lptRzPG2CjquQFG15sVgRuFtlRrwZAP/
2Wf50p8JHSIwKEcG6Eyhvh6cJdvqVhbIMoYBxJVc2iuP6v9s54N8mK1K4DeqPffg5VX/YITqfkm5
MQu42+DmPlkGy0AZFG/4mcU29yDT1VmunozBLi8kJvqRqhh6ZJNrPeI1Y9UKJCrBED73hjCbKcIK
BQKNyp/CXxBENRR3jqieQ9GV5PpwYxu1Q/xN8kC8N6GAtZVHdFGqKIfwhmhAlcGxWzyJbwvumJHX
+gkYYro1xzk8+bVYdnbpjQd2qPaD1+A2Y3nCIyY6l+xtIXeeG6J0TIQablzUkjsyoKZrokeWzw5g
vi++JCc5LVC/kZaEQnfo/SeU/sS9a6+cWKQUawpiOdbKjAYXCcNTjdS+SJZbs+Duzaokv1tG1sYi
QSZZA1A8DkaYX2sLhBS6ZlKTCbsYImJOZKSVm0RJVrQXCYv+AJ8huCo6+9WkY7wZkgwAOdnU0Lbb
ng4JaULchlV6r5Fx7+IF92bEjJWjbRNO0yElCUk5z+Y1pcYZGWdl9LKItzCq68xN1W2OMeltNPHR
UpiT3dvb5s4MGqgtwh9wIAXyC5rY4C7tk2bGo1n1X/LA3dvuYFzcYqpurXHItmu8yRM0nfJdUSW9
0McRjz6shXtMkslutlpzXzZiuBmXHnurKRTACPT1O8IKSxbdNBseM+HU5yBVzqvDpvnoOK0mf7it
bgKrUcfJcK1bpdwimnpU9QpEzGNiSVKlJT2pSz/SuDCRDF8rt4yPZkpvgHibYluT9rOPy+SWUXx+
zGIjuzOKwQ82xRj4UcKav3XyHsF+TCDR2SybdE+xIC+ZXcaf0mrRKRW0q35FhAguZjHG7NoeC3VU
/8vemSzHjWRZ+1XKeo80DI7JrPtfRCBGDsFJIsUNjJREzDPgGJ7+/5zK7JQoldhV61pUmTKVJCIw
OK7fe853mMmTZW5Mz4QHZ+vFqpc7S1rmug5TMjjzPOmjFTSLD000mucEGI/nhJko4I2jp9xvTXxj
O4Nxa0bSpPhH5jLTDkIagtrhvm7q7soiMfIq7irlBlOrPW/06SkmuP7OipWbcXBAG4yjxbbJFAs9
3aE/2m1/3Q9zl6IStww833rjIPKB24RJUX+gQ5+X+wrkR3IvUKSWSGcrZ+BNlKFIOS0V4IpVaQ3F
BkxoE2BunKiW9Wn54vXS2YTZjBi7TViCY0ugs23bETBXPA+7US/uxmlqdgm9pQ03aXjgUubBUJb5
taX8DHbpHodIq4OGyNL1a9H3n/r4nfrYNyyGBP+8PKbBCJTzc/+P6uUfdHWH4vnHmeO3n/+zWnYZ
rZMkh2pTKfIo6f6umF33D3aoTMJYNL+hbP63YrY8BvKCsbiP7UjVxRTTf80cvT88FWTLX4IUNk3+
6v/99w/jgu7NP3/vjVNohe8LZspkpp6CNyrjRguP1ZuZGe+gDJLVpO9JVlsX0QvqudM0h4dUdTdH
kJ+JfkSIgm9geDAyYC1W900G8sNH+v4jKF7ETx8BCyIqS76z6b+Cn74bNVVoU2vPi/R91c76ZSge
ZmYVHTaFskBahLtKZ20KfOpKmMXhRV1HyAZMUW5G85PAQL/EuJbZVup02pLK2/Y+EVsuXZLYgXJs
yxWe0YCeBB6C+rOYeJtUvNVLiI/ZY4rhXf1xFujIk/lDt5BOUSB30zaz7e9F1bPkR5lzjo+7nFeL
3uMI1VCRW4GOgWi2yo+zR3Yd98R+Ussm1RNa0rMIcTgC2OVa9OwrvBzwgKddwCjBoYpocdNl50Ib
roGpDJupjFamRtC9438yLG3TRe7T0vEJoJTQI7fWDD0RE/FOj+PNUOUB68eaBtjNpIV3aTO2G3rG
G9nXjyB49F2SD1c0Cs/gQDwvqEH7NFs3zpjviMnwVmOPBswqy8/FJPRdRhQm463xcykidPhDd17S
RIRIUa9rp+NgyzbJrFNUpNF/Fpf/k/gH1bYyoP7z1eWMXzN8zubv1T9//tCfS4pnkEGOXAfrI/vl
7xYUz/+DWY4QVMHMUXFR/L0Fh4ylhj+oyXUeNUX9/XtBcf6gIeBbPpIhw9HVT71ZQH67oLCX/+Fp
ZppKDwBtBY8zc8m3Q3jWmBjuNmQhafDyx7phuNejES1bC8b/LmnY+kj9OdXG6VAjixtXaeX5N7KS
/b51C7mzGqPZ6T2Gqm933D9dZ2zzTXMAEQNfDnkSjVGswPrbtIOps2c7gydzcBlyVicIVPrJWxws
WakW2qTQDdVtYpA7tklIY+sj7GVaLYHMsXcIv6CJNK47w/aadkM4Z+HeL6w6l3PcjEC64874VMTM
Mkg7l/WypS7VvCAnlVM/4dIC/hAIp9e8/ZiFS0A+ZdnHgZGPZLdRTblZ+yGeZUQVoQGnX/t23tx4
YZcTpeJ2uIPwGdIubgdD+THTDUP/u8Yb4nbY+GRiXS2GM3zwqzoHRNHgnScMLsebCijvuZgL/UaE
MFbZw7R1uk4QLUMMg/tpbGVoxvmxt6o82xL4SJ8xHeiGl8BFqDhG+vzhxymMNCY7S3tsotTYDYPV
fU70uD35hT0FJOWcGVF1rCunu3NLYmlp08/Iuob+LAxjeZw0DPGJy4h/lWPqu2yENZ+XUbzVkjSj
nB+M6kYT/ifdSkF9JF1VBUuWxw/Eh9buSh/s8ULDBHiNtMuf1i6ZCZsxkdN55C636N/zUzsPCdA1
v3TJoXWMaEsImXhuuyJd+XUMiMe2KeSAhCfOje5l9Q3wNWtdhF5xZcvFBcxmtUZ2QYXfWR/SqMW5
amjJaVmaDXs+c8vQb7ybdR1OV2yVh8mp7V2eF+W2dolwXRutM6w7dvObpXSNPVCweuMSCLiyFr1h
H1lXB7bk49og5eqas96ceU7WbkH068fIYAjgowg6xga69SAs9fyh7o3urnLZAzaj4drrbNDoPHTJ
cmmV5nROVxxqrRs7WwEefIMZlsapKft1Pst2Y9KZdxiDSLFdmhFlUI2I4injtl9ZZjute+40NMXR
eKO7crxEUiDP7LEbNrlIfLyCcEZ6DQqGOSYWX6i3buK+aLH7LuYqapOYW7otXMaOVOuAbBtBKBy/
ZK1NuUY2sD9sbH80nswI4GyRIoIwwZxdAPcWgTdN7V4Avxh5JaXOpw6dNDJd3G0HUzppG1SjNcfA
cV1AGbIyET+7xJF5K7MpXOA6fpPTD7H8OQDvE6mculC7s6cOjS78if5A0JsB79WubN6oen6Q7tKq
IUEen/MCL8+QE3P2xBAyJ5CqLSTjbT6bNp4DLxSfyfUcCXbOx/ZuIcDx3M99n9O3NOQmYPXeEn4Z
rk0PU8KKeBYlfc5FKHdsP608oJ8wXrulntg7N6ucQ9a3H/x4XJ5duUzQQDpxIO2iIhoZuW5QG1p1
yUo4fkL67bWr2nNmfVWQtGsgrm8zfx2N5Tivqq51H8vQ9YfAbtoJOA62IHmJfZipl8HGZ1XQ6cVb
IAlkOZ8r+hwrf5byUEVOhYSJRaRYp3SBTjbdr3Ylk8g84Qwerx2GYOyzylhO9Aq7/ARHqt6NJopM
2nqy0tiiGrUMarb/lw7LwVkR+znM9DBndNWXzU0yWH21mXLTugiVaVZTybCBq6y0iTLVArbR8sAY
EsGYmb93uEf9TausuHKx2wuIcvFVYgLjZAhX3nnKvBvNQxEU9cgG9tXba3dZ9jmN0ADQ1lLuX/pU
DnPsOdceaosGBvZOrMKmpVzD7quDOKpbp90KZSwmh7g5zswOP0VejJ1cGZANZUWmixAsmqO1CEMx
KuuvnmXqPHEW+xKDxyhbVA8V7ubQcOJrSmfzvkJofuPOjJn2XdtFV0KImlHQ3GcECLpx91jNOuFe
AnG4vWuV7yFUBmscGY2xso1JXvQeUewwdkabatPy8OJlbEpP2qTs2rbsOBywR/nC+o77WYvHbeM6
3aOjQbRfR76+nJN0x4yc4c+hzcxp04zYxFkbpgMKwfBBZpjIZcZNxzrPQ45CPVPKJWUbXWKm8q/+
89TGig7KHFe6O5vKod5hVscVytZSUmaf9aDpXy/bXvPiM5IYYdJjz1+b0nA3Xex8Ti38laMnAMw0
k/UR23F9SGvXvSKphzkR7nmzUT562DLWadLq8zRk6UeTcB7NXoi1vjr47lCsHFubsEUU0C71st6Q
hZleziRa70Sl1fzAMpmnkgddrEbl8LcHvP6mOZhBESMNG1r+L/F07ZEol+a6Na3pTNiNyNddHUMQ
sMG3SEUVyMiVCNqimnaqLnnOFX2Au9Smqn6FEohXQAHagfi8Y1iIRMez2jPLU7wDgpEAGzAhdMUG
mPQsAnzQAKNncGgEx+GN/uiQHVRuGkVOEK8QhfkVqBAJBVdIX0EL/St0wYvdEcgQGbY7EFVgGQZF
aEgUq4EpCpcrfsIzJ0+aLrKbGUhyRijjLn2FPViixRdedrF10b3iIHBkmqcwK3E193H1OCtuRK8I
EiAVuF7hK1hCI7Lx0bKbgt8Jd8JUBAp6zswPXSZ/F17TGecdyxlPkeJWRK8IC+ouNlw5wm1uENJi
npj1fOo0w8ElYlggCAj+PqaY8F36zZ6mNGZTGK+HnPBf1BeotEYCnC5RYc3XuBgTPOwSbpJDkAZT
ytzUtkPX3UQ+uyOKIvsitqsY7gWP2HnCcMkmyLXDCQsLHTG1XQgM66BTA+Kk8eCmU/Ps+UxCmXdq
/hE37KgKTCbQbJUqYuGMpRerdmyXg5eiv8FVOzjnfaEvYkWAwGCuJm1R9KI0lecNrqd6NbKOpOu2
RFC/pjxp70n5nLVrNDmF2A289GGrVQtQUu4BNsFV7hxl2vImEFBAm31GvvUUTCh1Q16tgvqryi3v
dpqQKUFAQu8iGDSceW3GQhv7Fqm1lZOnF208ZxOeO7eALuBNH1vTb24Ma3Qfm9BLd5UDjmCV4UX7
LIxQO3qV2+Dt61o2flpU6FABDSKaVo0bD2xXa+OKuOO4OHp14p8iAm1f/FIXyTrXI/1Qe2mur8tK
aqvOGhw9mEA1WP2Zg8SSmch/ekb/J2evoSt60j/f1m3RjCZffhyrfvuZv3Z1+h/8Cp0YCICWyriB
DvbP0arn/kHviG45mz52bq9T17+8vZg6dINWkcUvUxPPv0erKNptk8aS95pvYIKu+Vf2dT81aRw1
WBUG/hBaDhhJfhysRgzkF6+uhj1rMJEYeeYjQRNm7J+LwfJhqNlteY5PKCkDP4aK9t25uvo2wP2+
R/RGjYy8SIE+sbrgLWHL+3bn1jQMB6mk+t04mHLjzoWzMeglByzhxf7fOBQhfDqCZLbqb0P4WiuV
hkHmwk4YeGNzk3Go1cX1BuVw8298K06lzwTc4KK/5qR81/iizZ3VNJ56QDVTgohxaYK277N1P7nD
4fff6s3W9/UEwk7XBREvpmW/tWaj2B+ynJjSnZ+ESPdnE2XT4LxM0gmiMkzXjFk0ZX3J1oiwq3d2
3m9aAn8eHGe4uouRKdKW+F7h3UMCCq2awaFGAqkyIBKWaojm/Pdf8ed7xKb1YOI9Esz/EUX/eJQO
k2Enm3DYtb4AUi9eU2XsqQGhktZFWbzzpd7o8vlStvKCYHUHMKuTi/fj4exGwpgw+mEXzQCaGGN9
dS3zxSM4BU5LceaEOJV+/wV/Po28Bpn2KBoV7QvnTas2jAH8Me4dduCObV4ePgmZul9tfn8UdZq+
U1C8fi+TVhE7Bx23laVO83c3JfsjCgXgSDuLhsDK0rRzQGknRrVAXPXCfuc7/eosfn+0NxcNB0rU
kB4/4OzG7BliDY1kgapbtQYq34eIl2XPv/+CpjIUvP2GWNQc28INwg35Zimb48zxxpHHzogdcRKV
yD+SPIy2oVq8PXIE+OjNjStnb93kovvi9Lp3rG1rP0RttZODLzfDZI7UGW79eZpILJ8dBq4mu/Fb
Rt5Ew8TR2sia5Z2FyfjF9VfpmLTXbFJVfrrjvA54aNXzGCUj8Cg2vfg5wQzbcqNpFlR0Kvl17VUj
o7esZjQ7iUfKlgm4o1dfuriL1lEd+Sf0fX82c/95a+2XH03RCnjCbf735mFIoZFllPg9iv54Y8Lj
CbDCTGianX7TNVH3YUosVCKj4+cB8XDlcSrTlrS1gsyvYoJuLvUSnVqXrpq51FcWmlqaIR5QSBMI
WDSYLfkOi3ZYIEUGDXjRYHRtEOqwRz8OCGrhnXnQWtDmrluhuVtCj8iDslqPFvZ07DMaAQBL6YWH
NjKV3D6LRfYBYRtQRjGTsEYc5raFrA/WtD9VvrvsG1pWTAVgcU5hHp7r8azfa20jd2mZaSDO55ds
tm56r89WPvC0fU8A2onfXG5/f7f+/IB4NmAO/Gr0dR1K7h8fx6mLbFpg6qJ38SUz1hgLjn4wkulu
WOg0DUNh/MuPJEdErUmnVM2X3ma1+O0kPX/J+l0bhgejg+9mRJ/9Upy3FtpzVJUPv/+GP6/bKlfJ
QzWGvY7S582y1kW+LLk2/S6dc0K7QFccIlpBhJS2c/D7Q/18m3qMvh2TmT5pqJbz5jaNBtj+BNHw
FvSkfVZpjYEUbnDfOYG/PIp4pQRa7D7eXrIC72vRj5xAzWn1liLd1/Zov72r33+Zt3ZBVmq+jUfL
h2rRgJL+5tbI0JEbSMSxP0xGFWArSLfOVOB768oKvWTnUlJw4wPgxCPi3SPT3VUiS95blqyfllPV
7Gdv5hm2ZeAs/vEObRqEIIl0u51AAbcZaZduEcr3WzH2ibe2xCIORjnR+9Grr3k1ujdZn467yNbl
RbEsuPOz6r2EOfOXnwnrFrQcmDb224ojEuTGh7HV7cpoKA96a298nTY/Dc3mMuxqkvTcof6UoxRH
E6bNp6FOEAmw9w18r6zwC+Rfc5o2l5k3BcsyPg7YX9ZN0te3c0m/tQZQuCc+bDyWc36p6f17xcWv
v8AreYaSnudfvcO+ewuHRusXM7iFnYjnmwgCxXYYRfQhZhVb142bBiGcj3XhOj1vrLY44jt48hL3
rmsd/zDUYbieCHPaIE/3r6vFBXIHnGWxw/JoeVCQkXPPCCNTTck08i2+jfqd8shQl/3Htyy3xXff
4M3dOfbMNsiP7nazlkbHkP78sbcnBDCaHvRJyyI/4OlOU/1gVbCzu1q8x+55FXv+/BE8Jtw8jAb4
nh9PojezlmAo63apFgNzG6CsPFNWXdE4wKnt61+qXE73rmnEn7E29oOM1mllEvWhiG4y6ramDquh
dVC2jyjiipVrDjXBlrq+IyIlXYs0Mr7OpWGwVLq3LnxtW08xNGn+PZvudm9IWz9HYZPvl6p6AtZ+
68wcKBIw0Wp8S/Y75/zn0s1z2A2Sc8NcUGe39OP3JfeGRiA0+V2T5vdluHNlmgfaoiMbW8BT/375
+cWyTZKXzc6T6DVqRe/Hg3U5PfWWRWfHXP7FxxfKWxuOumAS886R1G96cxk5knL1Cibd+tvCHlDR
ULuhzZ3URncZjaR7tILKd0/+9MqeM6ZWOsO2Y+gY7wXL/eLt6+iomlES82Ki8P7xS/ZR0phhqkMb
cOdPmFKvJrdBLhi+5G7/zJbXCX5/Ut/KMdSa7uhMLhGKsOEmqujHA/pS66Yk4ZZlG17eDBZ1zxxa
wUynfm3J5StmjLsqyacgmmuKG2RYa9lFbaBTrfz+o/zyZoIkwZvllcr7ZllPhl7aseT5Hb2qD3Ql
+xV0SRnRVdEaauXL7w/3i5emg51MZXWw9/4psdrxUyA3w8RFnlsw+bURQtrz4nf2iL88vwadDO4k
Ti9S9B/PL1rgqDJE3e3YI6Pik1McyDL1yTvwtMPYoSeNMP8Q8tqQsxNGjE+kActRamcLAuB3ntef
N+U4ntkVsikHIQBZ+McPM85wg+Iu48NIWOTYcHE/tMvFLGeUioWhreuuKHexGutU2aC/81i9dQ6/
3mtUQ5xs6naoCG8OD3gIE1Kpt7vZEPFz7ZK9sxrbqD91iWFjYnUqh3x3Ooage2dCF1bSaXI7AMHB
NLGg95itR20eL2RsgVw3+34w1nZkd19+f2f8YqHBNeDAfNNxHbiGulG/exXGKI8JAHWanTOFTCIF
biFgOkB2Qjt555T84lD4bYRLBiNtOJAPPx4qSY2ubrBP7folLF4YVLvXzMiKlggK/d/4WtSgNiAW
1VL7aVWryZnoa080O9tM2mvEGc62mt3wLG17uoj/22i8+rZSft88+8UixpFoi1AiYhB/26kwEWOk
1cCREgLDwJGW9W0RNXCq9A5X81SgfKri+Z3l45enkv01TX7HYNzy5qpFkV5i8babHc430kigbiGH
Ksyg1c3unUNBveG6vHlDUGnoEGfQvSAoeXMne5mohmhBN4KhWG+2zjz3aOljMS4Btj4l3W07MyDb
F+5YY8lR27JzHKbNgieyuC48m4crYaDoQ4md849mLXHCtWXmDQHeKydZYQuPnyoM3RcZ2LSOvJJc
AaJKA4hSyVey1q6DnDfwpT0a2xGkwnz2SpqC4ecuG8z/DFajLDbunMHEF5sLsGPb1CgmZ2OhUjAf
mJonxVcnpVkSrWp2MDED69YKgzbJ2vhDl1fGfMgJyLV32EsLsdH02jgWC4aqXQdAuru0C1ICLgRC
1fCaeUtebvlnbcS713bZBKfKz8qgzKSILjy3ZCo2MOSE22w3+a3UiJ45tqVW7Y2WwPPVHLVmy6A7
+Vh0jiVwgkEIOLjRGJHCMlRVtp0z1M+bosZlfZ5KtpPJ2vFrZGZdNyomsLRnlC0Sx/JZoWH1ou9Q
1GZQF7YqrhKA8k8uxjhYOSHK6YVg9/a2tjGJ7vAWpvPVGLrytkxE229mrSElV68KDxEsKpmB7Ml4
2jbehHFDlBGeeHBBC+z1LvV3pZrObfJQhUrrmokYsGHU9CGNm3w95QXw1U7EElR5Xdv7whuu6fNu
BxRB92Ft5g+55uk3fenADwBUvdfULNdq/NNAgiuD8O1EgswNM/mVFGiwoaIkO1NkIGf9DLniII+W
nEdCYbqnNHPEirllGAzpZBGlbX0RljaiCJ/JkGCmt3O6Ud/g+3F2wl8qMnXEQtCpH511op6e3R63
nRhmBAqufFoaskalhTNeTvPKTvKPwGw2juY0VzYc8I0BBe0KhhFSFz0xzrwijy+w3uc7dgsA1xKE
PItl72zNuE4S6CGIPsND6Auk32k2UFQQA5fzlsDT4C7XWT4dmh7PQLKQfJos2SmjuzSNoj1m02QG
i54hbunR7qdxKOHTYMcYsQaQ+uZdhZ64wQ47bYzRi7dkdyzrmXS3IDRnc7dQut6EUV4/Er2in5ex
S5pR35Dsrffti6M1wMl6wBkeDesdOXz2oc1xDroAKg9oeMxDN7sk2U3ySG7cFiSxsc3s+aHAePtQ
JuEe58FtMswPmJ9RiOo+jbohfCiA0DHvzwrvIAfot1JrMHfb2h0YqvDYhVYSOFHlka8jNK5DA38g
9ZcAQVd9k7SavGqi1rvpBtSjo9Wd93PorkAWg5DRyq9dM9Z7z+qTPThj2AYFMHbR9QMQAqBzRKzI
pF9m2BRNCeJnRaXZ4qquEr+HXurFmJO4ee4LkKpT4DbsI3iZskikiEg/EYGYXTZkJtMeIcjIy4wD
qqeZWWtfkR64eGf8ASEGD8Qm/Iap9L5BK6H6KYTljHsNoOUCTOOTZlhb+IxwBjScwfXOVUDMyV2y
em9luTkEhde65BhUyJbPNc0hsSVzvRZ5/Sxt7Uh7VicFoGowdrecqVWflXmwIGy4i+nqX5l5at6F
RZklhzFFCGdDVCDv2fS2ZKehSwAvPR3jpNOfHT2knqS/q7RSen5W85L93BO+6xBPE0F6Ge3EIsay
c26FzMIXn+Y+XNMS4OrqNf1smb3pA3Om4qVF8YHhreiMRyzuIDKH2j7Baaw/4bkfAyzm866nYrnz
ZpF+koxAuRlz/OG92RyXiv10MjFIhw/T3dOFU3mUGKwUlIQ7Ibb85iGGnPG5qXEdZZPWPLiNmexT
8GA5Lp8e3Ry+2nu7woKPWWUcAye0iz4Ylo6Hg4E3Ai5G+ohrmTCnFFwHrOZZ4NJC3rAr9dttxr6p
2Bc1zJlVn0QSO9So4AZ2YniYYFRCSqULUpkKRoP4t+Jc3YPaeIz8NL4FtsbQ2W0H8BycTu0jlni+
oqvYTWeRufBRnUx+lOY0jBcRiRXIcxoCkXQiuare885FLPitYBt3AoXcrexNe1lRiTRHB1fOCadx
/UjrztzQOLMVJr9xNiVOpu0yTNl2rCZR7FzXjU55Xkt3XduxfeIhaniouLo04ZtjBtbt5BLg9dzK
qL0WS2vcdQnnGwXgvCM/fd55MScVlOd8pnFrXtd2Wz/baoe5Lp0FIVLWpAlRR3ayt6eCX6uBPjJa
0RxrwubOF9nVz/1ctw/EnkMVd93mc2VERJsSeM1pxc4dHiO6EbvB77svPl6gk1gabVzJyo9OEwg5
pABOUcxfoEMIgIy1OVoCofRohPO5wWsZH6mPCFpD+tUQJxmnJSvUEJIGhY3srjZmYKx2FX6onRj8
pT1Uj05Ecls/qCgME+qMsQL42n2xBxKgot5DmtTqYRCB4jhrC7688N3pg6elrItRmOwtFTZX61p0
GojuxPDo2VTgJXG5J0H8CBIgxXZAdpZBtMpIN4uLnv+ARClvFUUjifHpUqNVRwVY08Yqu/t5pmnt
ubL7QvS0vQ7DOT8Yba/u8iGuB2Yupn2bFLH8iOp9cNdjxYfMbT278fq2frIIu77V/KXJAU+N8Wl2
itJYdRD9HvJmma48pxs+6mBSbxJ1uYkO8c5tor5uGiE5UKbNW991cXxTZMQn0XHWvDSer/RIm1/0
pUp22gSLgegRL7wBHiEOjR6TTGaN/MZqyW4o2acPPianLzjXyEcFXdzFGwK3sapCBy3X4RCH1Yp+
S9euSuD/5drRKkgi8HILDaqXE96ImC3XCqtaMx8KKTHUxQN30qIhrwtoIHGnsWbFJ0iYlbEujKW6
QkZDExdtLNda77xYHhyr8sq13/UvFcm8YMX0IiV4YmxetCo1PooIc7scO+MrUYaQjXj0mmtWiwVp
V1q3azCiYFzb1B6+Yq5fbK4Z4b1aXXNaHN7k3Y4AAKyMCkx9t5i5duP3OquZ64Cnrb3mug/RSw2N
WePPmutPEwKra6P3olPoNMmu98k7I7IJaE0XK3O+x/NdalF/3yBZ0a9bzetY46ussA8V/JEXKmr3
gj1xuK2HsGURw+FN37S3BgbClve4dF5/GRZ1tJN5LvfCKbg0vDbPLTyHAFXdKLlyRFdvIXl1H9pa
wssgSYrkDv5VV9d1EMraekZyZm9RyCzrGsdtgGCLFF2p8POcrxUTTRGgmuQ5BA803xhFO11RhIyr
UqThR9TMYp1r1S3ExQvpqtAoXU/Yy7RtMAInumzo/+gDcuO0qFsOmzknfYTuAbmGdQMf5m7SE+1i
IvzyVM52eOuEJkK0KQFz3yf4/oySYWMDlftgJ/1RznMekDYvL/RobJEruyUpehhAKPUpAX3Gf7RQ
n3wbcEzmltNNVknri8zFsUl0gyUNzt1idcS4OAaxd704m6ZU3FNv62jypurZH9Wcqeq3MZ3lQxNW
LtOymIJUptV8T45MdKOXaADdqd47Vd4E/qjBeUiImvTG5Yn+X/EpK0gZ5p3DSYK9HbHQs8NZu/Ms
4nWaZd0BE7O1kqEGhK8QpMJBMTkrMAQHIjeLa/7g0pRHRDs0msNS50c3Q8dBBjt0rwZgFysa09hD
3FA8AbBxPoIwyvdJ4n6cYHjuaJfG1IGUcqtCJfpWyRhfJB6NGyzaKifJeI71cNxKT9N3PRlygYdo
NBglDyMivX41ZrQKoxl9FMWFuE+FvSvJ8dnyOLEAVym708ghOlgpcV9kNpj3Uy2MS7/wF1QLhbir
4yldT9SwW2T26qt1+UeFLrieJVcJTeXUbF3qwlXbt/D78PF+XRg14SaMIJmTixLeJiWZfSRel0i3
6nqOV6JIu/VElhvIJXhRC4HOg+tQ0AM+f0rniTRFXFE9hkHYvEQ8VHM6XS86UQvglbY8ilswGGQ5
MmOjIHOHy0LY4QcAI5QZQm4zlkCiYr0+ufH0dgmywvLOuplE6VCPN7GdZ0goW/uEO7Kq1vHoGwwt
8uUwz5WEPK/x2ik8LeOBA81eR1MKVsnCJw6TSHFqWiyxqxy+OMF8ZJpc+EQXPRSmcHa2QQOe1lrF
G2upaWkMiTZd+SACzmea2SpbU2LFBMicHf0x0W9sANlt6k77EG259LrsAjpqddaVSronKvjUDHhI
R+16wKopNneMoMak+Q8+M1P2OU9tVSoAlb2sGygDio4Xk88pe+MB5E97qEz32Vicr2FbNY9UrPlj
3gF1SzE+fYDOoG0tOUSbHqno9exQseTA6Rl6+z1SRSSH5Ivq0x7KkEyOmlWNIpCu3rl7NzPAGKHn
q04avnh4T7NbnWjfQIA2vRSK/kC60cI9aqePRZGW12bjFddOQh95lcwsoGk89l/yzgSW36XxlybU
F0I+NX5hgwoAM2ha3RJg540PLRUP1y1hkwMuJectoTnWIa893ij+VH/ibUnvbMkhFtD056+qMDHv
qI/ZmWZI4o9RNnVfigzyZDd0NBE6BNAvmVA4627pw0e9Sw3o8IrTUgnIRl0zhY9m1rIJF2Gi+et6
CbsvkLDJPTAX6ZP1ndnlLZgDFoYunsZq66IprrbCx8ccAMHl9ojNgQIHXXB1G6NRBsMWVeEjbiJ+
xq+nvA1cEPZ2IJCz1/hW0TgHEr99Ba8HuVRQotJCcg8AoSDlW5TdWbLYPftGvZQGzHsSeqItxSu/
edE8kE1ipP0YxMKftZ02qxKgZ0IKTHQq/PM01kUZOG1B0ZqHDldJW3jVrfNpCB9lK2Psd0Oi8nYj
G1b1gMp1NTQWxM6RXIvHbyfTllo0rCzGkyR6djrKNNfALA6Pwal2GJ+itdXACMT0oZoCMOTKWxv9
WLnLk5R2D8qChA1mNmX7GqeSfzIbZY7p7cU+m9u+urVHFBVcQuatKhdLsbddm35IW+tZetahYpC7
gqCB+ILoU/kiHXqjq8GEpHjhaEZ8l83S3JW4du8L9LTXmesDEKlrT78D4tPNOAeReZ7EwJfem1Ln
M1KV86mTMuTiOfNUopsdK0LRuCY8u/T+4zmgL8NZlFrPf7+UZvclYfeSrPiw/vncye4rrIA03/lD
C2xr8IlQB4GVmBOyUJ6f1cjlXPYl/b/jCL1UBzvQU9HZsahTsudamihkyxFstGoSHNA8U2y4eQnz
/loX5L9l+CYGZFXmAmf1FEtLhwBLCZm7pdmTHmrGH4xUNzfYNvQjM+l2PxaDdV1E3kTaZZZ8XJZ4
/DDiQPnWVv+Pb/kd37Jhou/7rjUcPPVP//hmSrx8Kr7+z3/tvlZt9KNX+c+f+VuD6gkEiYiMzFe+
Dw3wvzSo9h8OejAebTQ+Sq/IX/2lQaX3+5c5GZwPLwa0pkiUUASY/5LkVJkSv+/rsuXBOc0v02kh
0712VJP5u9a/b1ZYcyov31te9GnM4mnVd6xDDAkfSs25bcmAKVXfxyuMhxl+3XZw521Ha6hXPSKq
evNgjcV86FQHqcR6cfBVV6md9TpwVacJwEH7MoeoICvVh6pURwo3f/3ISFm/0V77VapzZeX01Wov
AXqglRNOfPcmVZ2uEcBH5vXFWTkm2JrkoLaMTbPpNNMEPUC3jKbWupHFae5MG90AHbWU1lqremx2
F9pB5Y7u2pjH4c5MfJDhqisXq/6coFFHNpm9IwPv3hFFsjJVN89Vfb1edfhS1evTVdfPcDqaLaoT
SCm/EbQGyahaDapXOKuuYUH7sIL5hyJKjtBM6S0mqsuYqX6jpTqPNaESO1t1I1vVlxxVh3IUdEly
mpa96l4K1cdMVEeToubJlPQ4adMd/z97Z7YcN3Ju3SeCA4kZt4WaWSySRVIUeYOgSApDYkzMePqz
UO7fluVzusP/te/aDkk1AYlv2HttnhTQ4RIGlekyCZ3bAsU+w9FhmZLmjEtbxqZMWe7CZY7aafW4
r0xmcqNbiou/zFvbZfKKLmebY6GaRZtfJKqXU5J5qlulbLQljV12qxDqDxvD6zllilp+7+gYH1jU
k23eaC0ugIIyuIqw7tSmFj7i/7RvLDnxTNNyW+2j1qk5darkrMps+B76HJcIVf1vY27KYlWWHYOb
kqlXDA9p0wxkpgMe9h7cYeCcy0wKicwAG9eaXvXqJilPKIwj2bdCFuTEZ2RK6EYGTLC4PvFFxoA8
0it1YljkrSGjCb483+jIs+iYHzRGVRxVE5LvMJeERsCnpUqtvcIFJAJMFGJkCZEYs3l5M7Hw2BqD
m765BvXFGjsm0REG89wrntQzw3wz5kn5KGQpzqYzljfW8gSg3E3fqgo0x8oXLo+sRM5im6fauGkZ
NN5Pdp+cO6CJBfQTawT/1/D7YXDZw1Rlu24j/1yr2gPJrJvZN7Ix9B+qc80DCKkuDSIYCXsEkfwZ
TGT3fIFawGAadh3EAfHErAiRX8s/iWZi6tZ6EU33RsSlaXfhJPd20/Ph6ymaLhgheY95qdNFOR0V
JkAAGZgY5TaVl/EPCgTE9eYamTH1hD2NbV69xtx/u8RhsYYEko43HJOGRJiY/I9KFMl5qhkUAHTt
d6Izqy97pJ8Mu7K6u76zFHWuR4io4J/PDMN9iBaLFI852wnMMPYerHEZjS3xGNlSqBV20T01qTUQ
CQCPLkiWD35tVNnhts/umPMHszA1DnbPIbJGpjttdL9BLjhY6dv1Skvtllebkbt1K4Hv8OYaFeJZ
fnk3VEDSVxRnzDgZsHyjXDNehmLZY7S55T4oO7IOJSCmi6CmWytFV2Lg87D2Vc+P2pFBciSxnl/N
IHl8mw15+9m6cXIu9NK5Ax823dShMC4Yg7zLQBjfJuaKBLzi2+GbbzAnG2wCP1bXECit93hFdwIo
m0Wx9ljOqB5n3IuPdUQ3VmatDyqIXysfCApJognmZyMX6gnuOi8oIUcQtW7ZJ1E3VrhyvMXA40T8
893AYtvNMDLi7iIfzPNePUZ+gVGXSdCk87kp4nNfT/ed1jz1NbV6b5dvBYjMiIyqwPdujbajr4/u
44XPk7XxPk/VT3vwb3wszKuWirgw3MvYmHQP8a515m+RavAu6aN3chjwMzy2oSVoK6OaysAzivLS
8hzrVsaiqxaJcC5UP8+NSMUZADRhP8KL1o5bYQNzUT8m+XSGJLUexnTdhOXRLNzwHvjpeCdGMlC9
MmJbM3hOvHNKma48v7c2YPQZqrBX3pOyWQWtJ+t4rUGxLACjgQj9qouehBjyVm7SuWs2hZGLAzLb
DyVawvjsBx6TxD/1nUldGoWvWmR8bzTvY+qQms8FuOCsB0OWTwVC4NycsJ3NtJFgOfugcpzyEUe3
FfRxOn/mvU25xv5t0R1sq3Z8LNKO+FJX7tCBxYFtz/zAiSO2Y92FkKMmiadDPGNPNVYUrQc5TvkB
JKm5HziE1zrpUZhtZQhJraMdnRdYV/la6x0bw6LUT5PU3aPiwmd7gfMIItyrLvI60PJ61YnppzlV
lyrx3K/EYAYGXlR/cxnarYWUT9ig0/dp0swN9zpkVbMGE9sVLCAYdC/ZIFa96ueZ88Dss32UzibF
q6dbwcx0yQ8f67z5jKc23OiFN51Zpg6YOCJWMeQ2GTjgixn3PKa34lQK55xx5j9wWanFIyfABE3W
ZjC6AihKp6V7WchqbTVav2qEUX01Nqmzc24cppw8L7Oq3rusNNa11/hrYqS+k47cB3rJ096nl0AI
2n1gzXjFd7XTpzp8HkSFtt6UPR5DZjalxWZZWfZziPo5cLgN6ayK6Dto4wbfn7lukSucBo+GmCLB
+7Rcu7+49FjPcqqXGoK4PDaKznQcWpKVVr0Repgr+/QZfhFNc2PlX03opl/MyzJiuHIXQHcTsp7V
GEk41rDFzX0cohxo7dzqZzdMywew1MiM4prKylyUIZXyzlVfDW+FPmVvA0Dbs9PiFbGpsFbKSeY1
ZmAE/HmbMD2OC7uGP5Z7/soZ0+jUsyoRR/hOAiNcg6sYx1u39aI617klom+tM2p3jlAeOSwMTPkR
S1LNVARAS6bdCa2VxRVTYEssa7siAmHGcGiPXXkuQcoeLfb8m7C2F051HX7z0WpemC8l6WZuIJox
KC+0cxt59oFKQe6EXtYg4SCME95QWptYjT+L3DDuRB61z4NKhj0U/PrFwdWMoH8q1rSF9LYuGdCa
VSUwdeeDzKnCmCJrR73kAKuEUe9LdGpBpdqUXc8UsvcSHm8rQwZhZT9cgGqrRoXDnXQ0/VaFhdpm
Zql2tYG8q4MMEVAz3MKI3CJg3UVGRB/sza+pUliW06JngT3UKpiFFKsEENQ2t3RSapS0dnM53xJH
Ne0UK62V0ZHRbWdNfz9LajzZlw1Prt67A4eVPdZpM7CvlNqr2fpnLMvN1+DCMKvBZG39yoFomZF7
q5k1nk1I6GtCbbjFEdUvOwxYHXZ5V7gjKwO/m1aNPtjfzGrcjcMYrRtzfpwc0z2PiSFgXOJmRCG5
c2gxg0yoTdmX0VcNIcJseeT1NVDBPkmB4OjjeEx60QRd2oSHoQ5PSVQDrrDtNYEd6WGanfEmTFGv
strQYik2jHUvvuR0FTdupznJ4vOJM1HtJFDF6MF00nrNLbzkoPGBl1Q0cikjHglRTVya/Ht2mnsN
Uhupf+eTfQ1YS69ha9C++vXoLRFs9t/z2HhuE86WOwnqp+Ya2hZLj03EyrnGufE0fKGXftB0kt7y
a+ab1Q2P4ZIDJ5ZEOIITy23a29Ytg4Xv9Wwmm7lyLolfagHwwPYSL+lymW+nd7VL4lyzZM+lSwqd
aER7OyzJdAkRdSqaWMbZpNZ5Pfl1LtjVo3UNtQM8d8+gxzgxcKkv0ZJ9ZywpeBNxeFjdwlWdd+n7
sGTlJdfYPPD1x1wjSS9Kwa3IuimCvk/gBi6Je9WSvcfoOtnpnv/ka+Ty2QT0zSaFNmOBT9cAIGjV
uTo75BNnpfURZ0bDTJ6kv+ka+pdeAwAjRig/dIaFn660gfMtSYGG11h7k+Cng0r9Rx1TDWZWahnC
BftWHuZr5OA8W9PJYvv+AOh4fsmg/t82cf5BAxoBsjdqoguHdpnRFORDJgQb1kvCYavV+acLfoUz
K2xbyOew/dSSikj54mwMNg8XolTmgBroYi4piuY1UFEs2Yq65ddrd8lbHJfkRacjg7GuzOI0X4MZ
66nN7mRRg+UA0Bj/QBACdTFc8hwBUPMo0P0l5pHWENzKkPneJ1wrDo4+ssWFXYP30qLlfp2XxMgZ
DgsIgWuQpHMNlez0oXgqlnW+vSz2w2XFTzzWCOh+PiTL+r9ahADlIglIFnGAWGQCzlUxYBdxwlIp
HUrGnCWXUERRAloHdUGxCA0Y2i2ig/YPDQLV8yJJGP8uUDAXsQJTov5nvAgY3EXKoBZRw4i6QS4y
h2YRPDBVP0mFd7+KEEM4ud7fR4tAwlykEkQgUN0u8gl7EVKoRVKRLuIK3tgzjV9IIHVcbrUUCUZ2
VWNcRxn/nfr8xdTHRMeJ3u0fgsB/m/p8+wJvULS/8qT++Dt/TH1cQXTwQmtabL1MWxazwR9TH9f8
G6ZfhJcMIFGUY739x9THIlV4QV94BsgpdojuP6dAlvE3F9YUzDvGQALZtPufjIEWSe4v4j6ynNhN
sBpGgo0Q2VpGXL8OgTxImDNYN3vveQw6YSx5pBTU5l+ICBdp5y+vAp1P4G52IGEhxuSb+E36GXZU
4mYZhfsuhfPETpc9ujeGtB8t7W2OQvyQwYKBUoNs8/WX3+P+3wWay+/1by/OQAmuH18bA7bfPiK7
g2w0pefvI7pBuXVVwwZ5FLzusn5PhVG+R35e+SgOE3PdzFPyNWoEaWwc5ZgQeQSDng6BBP1Xxqgb
8UUn2SY3XlrwbMlCcLqTqgDLRfNt17jhBQbzsP7/+BDuwhizfd3mQvrtG9SZK5nELPh71ADGZrRg
x+Uau+LEHabn2tRZlQhJBoWWY/dgl1+9Dsuq2qZn4v0x4r934Bvdl43nrfSeja1PRBDbQ5kdRr+X
JNkO4ilHl76dihllkpZzFv75Z/hNtHq9CDAOI0G/Qhf/zYpmmV1HZIu/T0x2+EqfQdP2CpoVMKY/
f6VF/vr75YZ5GP0vHi4bj/6/XtQ2hU5eCV6pNwEfon/jx3PQW6jWrB90G+H5n7/ebzfR9ZMxC0ED
zCVu+OZyBf4ySTVEUxS5lvF6EWpjThToP13k/4W8/n/5/hgfW4yAPZMm8HcrmK84LrIByJmCHwXq
Iv3JsC/Zy8Z7+vOPczX8//b9Yb/Go3+1ZvzboYDxxmBG4nh7gwCUw+yCcYx9rplp4oebchPRD+7e
hsFeC06lt71ThUV1bS2ClLgr5pvctsHGTA6jJ6e3m1UlYB6vemHOe+a/4bHMUCVhdZiee5b/UwDN
i0dblA4zkOmIF2EXbWzw5iVAa53mZSBZZf/nH5Iwk9+vEqxEAruCi6sdy6K9KLt/+dVCI4TmPqtx
P6Q0tzkrXSS4YXNAriK3pWwMas/yJys7bW1L9o9cvOk+I8Ns24uq3cpKqTO0mQEBc2Gua6fQX4Qh
k7NNdNmbO+T5i42aSyHRexR+jrJHDZkIlBNmT4Yu/W08g3No0VQ9E5FmrIsomXZENIi0j944zuTe
aW00YWy69n3CrJKnCyOZKjRotB00LYU/BaWdMG5iHrtr0M08qdBODylVwLoQNSIAJhofMQ+eICec
52BVc39XZWJYWnvXOuVene360LE3FQRrcrGx7jkdgoigxcixl6qU3wgDwcQH5qjIJ+3O9qvpc5qI
B2Hu1G4i2Zo7O7Rgy6VODCtUVs6abGbrwY5N/QklEHHMUSx/VpRvBE/r/sSgSZGDDQcL9URZxON3
1ytQ7OUGCW6+nxEGlY6nmVryzsnIHWs9hukrM0+GO8KN6h9Fmtnvet1stNFPQULLL01q3q1WZCAA
oyTaaK46wrbnXTui3kjDP+AvKc5lWOGiGAu26pFSGtjyYqdX6Wn5PjFNs6I3fQ+GS0nuiMjNVztG
o2yNsX5A1pqfrLCanrVMYhYREG/OotOYB049gdQ6z5cgzQdzZ5S+d+hmy3xXodPcA2hrikOrd35Q
u435JK1tEVdcET0DJLas5ntZq3IrYwOjYDUC4i6NQj2zHeiCUo4DPw1zPBqVaI+ZZRvH5oMR5t2G
s60/tFmJeAS+lbdSsfFpKn5z5YjqYVLZbRLacaBBkVv3UdatAfWrFQo2cuB0/UjTRTJ6BJI19ceI
GVV0G0bOWzxO+j5uW+TD0G82qXJe2E2/G3lRrAfVpIGWMtBv7ZAUaqXEiQ4Vg6Yt/VUJOwS9AAii
Lq21VdvTC+HKjTmiOsh8ebF4+UryIojR2ckGZdKkeUzaqnjizYzhNiZNK4ilSRggBgOmUTyM3DWP
IeSfkefgahyWNjlyjJ1qGu3GZnxxajVGGIpgrHdElPpDh8Ka+OiJrRkyorQCDE1+1Irmrr6ZsOAc
4mLM9sJM9L1bcrs42lQy5fRrY5bdxgCYtordGEljC2xo1NPiQ6Hl/56Govt03Gb6bvZqOJJK1h8k
3G4MjBWebV2rdnXLZMEO9f7QCe4vbQKugJx9isyVnrqNONAhAGhci9rJN7ke5QsnaXy2MOVvgc7E
Bx3A+saixQvSibmgj1N+J5wa1vmiJ4GuvkT28j/TomNMlsDNP/qsxtmodBPDL+Lj6ZPkNkz76Wff
qqE861OUrcOKomDuARmp0kDtaOQo1yKeHIL+b2XoDBf1fkDP2cbqiNWVtldNcm3E+nTDmKp5mf0B
pSE36nlKdBjBMsSGv9Krsv8SqRrWfsaGe0pT9RG7Y0T0IdqlOGmLE/YH8aTp1BdZWcV3Ug5UJ4t0
siwHfeWgrOXdZSOrmg6OKMMJR16QoNXf09REz63PwzrRqAuRXkw7AgXMw2DVcgteofuGfSE7sDJH
p6jF+j5LLc4eVo40uJRfTlaGpBhZvK/JrM5mPIdHt4E0w5TNFQGuNblOSTHb+Krnk8skvoPcNqyv
utG6nY2NZVvR3exW6BGZ7fB3DD9rXq76YiLoeSdklOo7hDZ8JA0eJoI6d46ClrAmvCaocwUHQ8Dg
ONlVrTHvyfzLApBs4ZFaxYa07uBtIGP5iIzBWwkTfSU1cP8t6RXnOm33MZ2YOCO3sAwGaeSxh4Vm
37QMni4TL8BwO+PJO4cuW0Gy5e23IbTRkJOU1150pJqrUEbdRekGuBvoj991z75ppADqzDho16QG
vC3qRfPGHhGO1RwKQnXmuTdra1vF9XjIpUEWRJbG25JlzQad0ROULCMY2hb5gxzsDel294zX/CWn
Kep3iBKneMfX78oPZXl1fAIPWqNJIq9l1Y4FUywol/pawcgMT36YQwazxqlBPeQZVnweB2PM58P1
8f7fhvUvGlaSShc//v/dsO7fh/ck+bVf/eOv/NGvCtsCgQ413UXRgy5paUr/6FdpUv+Gms2Cj0Pz
yR+hlf1DpWAYfwPVQ1+KuxT3J0bTf6gWBLR1fckgIuvWFYsF9T/pV3/LOl06SA9bNG+LEsiDIfWb
agH4RDandmQ8Nk216KrJkZ2oLHmfwZwheaosRPBxkqmPysWXEMdSuzANn3aFpU1VkCUeLLpmXPJp
Qto07uGg9bWKaXdfvTa6zr/D/ASbmNaXyX2qxgoyJtK0QxmjyO8sw9hcVfGGphN1sJggrjp7wJLy
grx93vsRQQex0LqvYtaoZzHKWYAoOWpGkicz5vPt8O4TTPHucvcnLAH42gJuJIplJdW8ZWVbH+1J
q3505P+8t9Ewkf+AJguF3fQ6Kbiu4NqlyxZ3br96FQkWbpl1iAA4PUSxg1xZSxJYeY3xvMgU5F/0
otd25p/twfUnWAyj/Ko6jbpYWGq/Fs75bFkgnXGPzIr8OdvsKCCNUWE5AbDMwsaoW/DsRu7fl25l
nIrB4KNVjlfaQSJ11p1xOm1c10YiPHf97Uy1cjawwH0KmHwvRW03l5jSZmMnaXrLBhjjubesntkB
e7soVuAaqHbvPE89t5kJK6IaTpjnjCcjNnZERX6mtVP/+OUm+V+mCP6/+jz50JbuLhcwfaVu8RT4
raeEIutFoV4Vj1aZh69i+fWjshTfhWHxpHJ1degIzDnAl243Vsy6g5CPdt42jD9vx27Uf1QS8DHg
zmG8iwpLHgl4sh/Dif+qAdR8GVUpbiLNGO5iUjJOZlSTteiF31APGHDF2O3LgueoIzN9n5AdsIs1
pe0kGu81IT3tZtYpesHf6/2NPpufhdOdBmWIfduF9h4O7iJ7w+uejJPcjDbPfZ21OErC14xEuqNl
lcMH7GqTva85fFQMGA/ulKm9asnMCGM2KFXfbdtkGC/clPLs9ho3UwPwRJqfOuo3JPWhciBbp8yM
PWbIQcKarFsnCTapEtHjjsgiFusJUwm3QNQ9FvxKtE5JepuTyXWavMyg5CyqLw+yLiYDqk4IBJCJ
9wguBbVz0+wRfiY3GVXq7TWM0itEf2szWm/ZMXcE9tXxnO4n/KB+MEMJvWhJO941xB2dTCCO22T2
5v1gL/emJmfok0PzAly8/uEjZj1ZlvIDHWnH+c+vnd/OLMBwngGtnRUOxGl+S39x2P7SaZKXgjWo
dzVwz/r8gIeg2GmiQfYxDh5PaRoEQBBcO6qcPzB0YbUk12AK4GvEn2lVjufKMcJj3er1i1tb1TqL
M31Xe9X3EYfhuu6c/BlStc8aW9l4Bgmk2mX89qcSRjj5DvidiOcZN6xTjcuos9ACT8tHnTptugU7
kAQcV9O2x8S+HKilZKlctWJjtxrRTkjA+DfHfjwrWc4P18u2SnFMJfCWb1Vti5OoyvBnmXn6d0/L
mxcfp/dLQfrkGdWLSgmjifN4zWow+VHoxDWVSsuDDux7DKakw545zdLdSC/27jy9Rtvx51//dbD0
z/Nq+foXipwL+hGeP9K53xr9oRYNmymF8UVVjsa61xWrSdXaY0pq160SUOQDp260p3RKYNTaY+VX
t6OiOd15RISxS+YeRMWQ1eHRk331LnsHa63PDD9iManCV3QWfJhFpERt2mnb//wDWMvjFfQ/z2Vs
cv96/RSzbJSAYHDJnLndjKkYz5S70bZmlqAYW3LOgInmvDCWiUsRE4zkeEX1roe6fSMGJ8QCpEwO
5ql8N0dXnJwBqX1sYEnZ1pkXPmVujdg1hgjsrf78vV+fx799+ZZruejCDRdW+e/vHclTomZrsC9l
Z2NAGpom/MnVHDLGwsP3TRCZe5uOzXiXuX2xa9Hfo8UrCgLMqqQ/4kpOggERzSGzB2Ttbq09tQSn
7uhNWlYydVfczV6TnNiXjfdDDpofFePQ/Ox5TPATJdaPJhy6gz7PHkZahqf3HYbNgmrYJdksxa80
Gih0WtxmLwY+y73mYXYhrdXYhAwzt2Dro22VxeMrRkhiRIc+ZFkUq4VHXxDHaxjjl4gazisjtwge
bSpDbEhW8kGayx8YbfaAhYt6ZcqqOmQWEo3C5VanJhjvr7de6GvRpwq1uCfjmv+zQ/BxnEdlXNj3
oe3KU7MP0DnEn3rVzNtUj8NXrrz+y8ry5QRZvprUDY+wQedbi5QW0jxzTr5qoQBNRi6f9MqYyU2p
neS7m6cfZokRoI7i8SAHownUomTR8KycULQ3axsF0TnFOlD8xYVAkchV+i9XAjAbagYIJCSTUQ7+
VjZwVuddI/v6whq5dUmC4wZbXc9m0tbY4UMBAJ68SOpw9UVbSrHq3cGri26RM2kT5c0h1mp3HWdp
hhMITQnGVD2RQY8lI8eXV2xbQpe5XYWr/5gGPXvm+G9/GGynv7rEtbS179i5i2vVwxBXUI7d9kVr
b3JXn7gOrMLEU2pmYbbNRIhW3p/zbu+x6ltPc+Ue8GI+IxAT4AiwvWaBZjBFrx3tgdX9hBe207tP
3KcckbIAcFDiJoIjD2SKu3bvZslSci6/KxL+9qVBDm9rEhXgaCTzxjenF1GRYMYUz1zxfuJ8xY68
2PmRxcWaGg3zOc9zP1jiMOjpe3kkT07fky1MZDW7+no3o3Mob5mnWDgXOhl/4zmQfGu0FILPXA0m
7XeSpy8NmjhkebJ2on1M3cLoxuQ0wNBQxZ+a74qL1g9LgYOb5ah7I4+qJnfWCqt1tDLjrt0gGMx1
Pi64vFVWLtaPZlD8d9h2i3o+BokReE5jWetsBj4fRW1zCHHpWqtZpOaP2AzBgUXA1eQNeYdL+eNP
D3iGSm0zIx74QSAk52pbM69Y5Jl6oBWzOEX2II8TFwJ6tYFpqGZNMfIYYZpLLDAstEnv5gf8/SEC
QDcdL4racg/dHhh708zzT8OR3gFLoLYhdEo6Kw8lEoMwNQ8bq+9JOm+cJIZlwSp2UBpXYVJTZa5G
+D8tuHU2r1Wor/EfZT9dd7iw6yWZ3aZsZZiJSw2ti8zPrpvH90buDgEPA59vxp/mh+uJ+t/O9q86
Wx4iPPj+78728Pkel//S2P79b/y/xlZAc2bfyiLSIjCENvafja1waV9NWl/qNG/Ztf7R1lo+AOil
zWHZgUeSO+wfba1FTpAPeYW2djnP6Ib/k7aW1LHfTsflX4ApAVEah4z4+7bilxpRirDubDd0zlhE
tEMUFmN9U2A3xMhOxjw+UB5UuTTR/RKIlj3OSWX7PwD2fsXgxx4tFxR/IErziSiw8UW6WnIDmGjE
KsLSKMRU7DBf9ufGL9ca8rv2glMvIuA8Gob6WS/qUFsVfZKZ+Y30k4YBV5amZxcCNepVSoQtbuDi
kIcTh1/a1UE+LQGxeWatISjaW6Ap9MWp3z3IigzxVaoP4SlDuXdqOqPdTU5fHw1fDZ/sk96svEVk
5zf6azaQSKBXSfWmcqkHyMwc/L/NO9Nsbk2oC+g9XUPFN/MUj3smj9aWH0o7F7SfOIrdfhvrHvVX
oHxqbBW4VSfyfms3GYoLIxnSOy2OjZeezGyrM6s1YM8qaJJYvzCZR5za1cUaONRLZif+82iPEy36
uAS7+y/j6DmbXp+C0OzzB/rdem91yjirPKfTQxdOKm+SnODXDwfbiZNbX8ve/bZG7Qp8aGNjML8h
m9TfZaXW/2ikGx6m0Da3JOtmX3mWUECknvhaCteao0eVe99IvroO2j4GwfG7LbyhWEUkIjPZ9KKg
zjPvzTA6KHhuSoiOV77kSf5Sa7x0UVeghuKhB6KmMYY0i3IDitIN7MrNi5U7FMzUM+SpYmUmfv7o
ziNsNyyR1WG5Ip8ZuTtbrKUY4zADyD2i8pqHsOvCzi57JvEaUqidTqs5QewZB3JTpYgulhTynh3H
fBcSSxDEs1WfYtMAy5/oo82rmCVuBdfaWWlGuZxrZvI4OE12suHanGJ0bLfwUcFqEjR5P6habYum
GT9az8qKFd1UG3RSA7YPd6bjzGdon7vpcEItl+xHu2hObejhrhidIfqMcXIHWYXFF2o0iW9TV7k3
gg6XVJjW1c94Lpg8K5+dsyoMvSCzrfdXkYer3hwn4JWY3gxgEbJGtqO7ydqI4n7LegfAhJZrhMMQ
xnvT5zkbmbay8MMzTVVbn9CbpOZNubVTHZEONM8REiUCbcmG/Vlio9h4HnthF2/HSdnapzPbsBnj
OGXDztYFP742EJww0y6bYCK2bqr7L3gD5KpX7k0V4j9h50CUDkTPH70jsq2BjPqDZISZIjHveWD1
sbPjgWWvUDQP3/3SMpkWhS7QOi/cdi0IhqCQw3RTDprVBh6WnyMZSUO1zik6NxPEpHuoLuWGnRue
fgeIZDuagGBwQl4ynOM7ls7dN8ATJWibApRVGvIwdP0oudEqHMw2MTl54Pl8JKdECEef5JPq5bJl
nFU/bViKpCjdwmmTDN783I/1uOrpybYxYWLr2J/4SVorvI29Qt07RHiK0FNPTIKcC6uQvSrM+W5A
vBWQAXq0O25rTD7GeEjCHJ3l4JT3kK80aDiiGVde5U2Pssmq27zpGQgZdfqGZ7xmzoeOuhvUQDBy
EoeHQvfdxzGtjcBHvWmOlX6LBBA1czk8sIpQpyklzYvDUz83HT83jos4KHJym3qdsOXIHPTDXItP
bE/OubLq4gCJyzjkTUfMEfKDANOzweQwjHYKZPM6TKonza0m4E+G2T6id52+cr2qgllzJ7YoaBvd
qc4ZAQoE/VSUcSASW+7cbmTnE3KQ68bc3iRxNz4XmW5t66qIKAl751bHwMhqhYPIB5q6DqEHvJql
Hu/Z1lOljhl0WKudNKTrtvPKQ3DeE46pscRhWzcOsRmA2O5+piG5SZadlJemZihaQQylxtHfozmP
NrXIyGEiwgWUeKPROVGsv9JWtCeVZxdixbpj7LN0ZTVY3cATaO/nAkHmMHrzvS7IzWhiJZc2K5w3
VuSoXW4h6kUs6K0b6fXrzo2tr2gR2Q/u+NFhaggkZ2bGNoMUEoU3+xRrSNLLyh5eKshUgSWq+QJq
3McpUjqv0Ay5N8j2hjvkQcRI5HhL6LfGgRWBE7AT601mPc5xt07OIiyK3ayX4n3IIwvLy/yMkpMA
qmEy9nbvkEitk1n3mCRiBBMyewcay8usiwPVA32BMoWzkfrED1wYtr92k/5hqGT0oo02UMOOiEsC
0OP7NGumYqURp/tNjxzWdmbtHiMvrjxO0NDfc27i1m/1U+Nq5mWeu3tSaNnaZ0B7QKvIwObaYyph
5AsdaMUtQdviC7gdcxQf2FdfJEYeZMuqJPnSDKPAKiJvn4xOt428NtvA48kD3QtPOGwlwSdNRyWe
sied4TsMFfohbqh42+X0Q1HbpWzIM8hTXphTbyuO7yEc3uNEr3Zarzs3c9+4H8LNMgLgKqKUG/VA
fJ79CF/sWZ8seN9+WKNBNd2DIuhs53Vut6nJan9u8rg72k7+ns5pe4hTYIy1TBbgO3albs7gFY1a
1BwTJLV47CLr0kRFeT8vNB8ISHYPy/YBloXxCnlkYImEA4U+L+xfRJJo+2zubVb5SXo0Epu9VVpT
fwNmcKxvozZYKx1g1yYpTBbTUZ89+V5U7brWq+9gBQgSeirITXX45eHXIog6ZnXd+MhfEYHvG4jq
p5goxZvKltH33m9wMzd9ua5mwBGWY88/Ybw9xezJA0Om7qMMeQutkNjmwNusnNS87TlVN1Us3sIG
mUteWpB/qvKEmGcCmjGeplBYz1kt8aoByNlYmup3IN7JPR9l+Ka6adxZY6LeEIyiJvY7H6G30R/c
AS0K28C3QXCusMgU2wjVsFwEvEhb3rXOxkA2Qa93vXQ++kRxuzLKbsb2xi1hhUMmzPszm+dowe4C
RNDd7DnVnOKRokreFLXHo94WNETJIMlaRu4jdr4bVWe2tdvcMQncYZx4C8wH9t1oa7s4tfKtHhvR
yaUT2yiS2PcRAl5MEzCr7vEWjIfYynDAeJ1aszu2MUIOb6ShpQGYJZuUtEHMdxWGvEDaShzLWRVb
2xvG984jam3V1AB/Qtk49kpmUV2sHKxoqNzm8aP4H/bOZDluZNuy/1Lj8jT0DpjVq0EEoiUjyCAp
UuQERpES+s7R4+trQbqNknlLspzfQSqVpqQQDeDu55y9106j6sVB/aZxzH3NQy/weSHf8i6vtwmS
8XI9FUIdpkZzCc9LxZ6WYOqsZZ2SZahbaXGqRgNrXGo5m6HPaUaA/XgHgmJg1p8HtjQHnzbyPJx0
aXLDuRddnZZtEUrNWy2o2EGHQD/OrANYTjhtRowS9oEptG8ufNJVy1x31bU4zEqnDTcACdWKo4fa
APu92GDCzFWjTajwg2ZxYRrYxPmqX4AAh3uq+mAji65qVjjC6M82XbPGPtb49ZBhB6plID/Xkaa8
rd7JBSmnXWTFhrTCFJac9aHV38ZKZjcQDVkQegMhI/H126CYoR7eI8XsEjIBejcq3+Iu7zGiknXv
5Q9yjNLUOga2G6dX7eh65cMw9XxqUBVGIeiwFZyUmcADS0MAkumyXxd4333oZKn0J5RNvmiDZBFM
TOPXCurV++DxCjkj2J/5mfJFAOHaTkZfHfB0jGql92DBYQHFx65361Nd8X+XjVM+mzx5ZjqpLVcE
FUmAIJoQmHcxYQVkv1VjQR9N009lPLoHUlpnnmCc1WfZOQ8zfKxVjQHx3cqqJljNcq6uiCsYNpiy
1J3KkbwmTq4w+lX5RRuYsyP+mvDDREO3tzJkNqwGk8+pD7mQxRHGGJql5xQj01KZtQGqYVxpRQPW
Q2MSFtsajH3ahr7tIJhbScH1tLQqyWroracGfgO9r7jCK9TowljVWkYmOp/cHY0axmRZOz0PdnAT
JuRJrLTMG+9HEDJ+nxBTvm67WTtNVWisk7ZpGKwjplg1tut0gBwquujswviRsZlB/KB5tmqqIj+O
eZI8hG7WPpM/5lAzNf0ZsWd4n9tzgwCUDzvIo2RHWDLVl23kRCIE/aCQaY00J7tKO0xJU98HQa61
PjHPya7D43igOV3ctaEHAZB02UcVKaZioJQ+F2X4GNBcu7YMel646TSxN41lalt4iPO7XruSCG/v
kcA1hU8iaSFPUDSsSxHVr3JWyKSqeSRZGqXHvHbBDcbreA5JtdWAWdyk2ZQ9JYi4PrnJEOyYwegh
Mw3d2FEKtZ/Q0g/vPVC+dQVeBo5EWPm8omKbqISHkP7+jLGqtbFX1YCZEInWhk+4xvBl5tTHiV8g
XFTlON3W0k1JwSai8U6FaH+0eqZlDH7K2DSu0DeGhG2KqTk+RPOcXAN2jg+56ckzoBUK2NHhZtLE
l8wtZ6R+mG5Wjo64jXQ3Fg3NTqenlKUCZVk/aOs5kTMiohLDF6T5XWv02V2xnJPMmfuKVnq70msN
5jtSw3XFyZc5jFfuC5RKcInQ7VF/LgdZ3VbXtsnhOi60BTcyYx2f6kECPwEVW38u28HNb/Q0aUyo
gA7FWK2zC8Bsoz267pB3agMMHmd+F1OhDbe6h1HPiXBFxkUvpqe2GKvxYR4EHtyVaCl429tOaxhf
bLoOyWWFkEmNwxUfiXJhFIZ1hPu30Ussc/87t/omsnB2nudw3JF3Vz8Q+jo+/tT++Q8z2+/Z5j93
nF2N4Q8KYFw6iBXsRRjx89ytqschyUx9OBOyY/vCQ+SlGz3fSH4Q8GSD8MXIzV2fGEcztbfCUls7
0jeuJAa9Y2ZWthve6s6bEwh5f1MNjRyd18Y8R4e6jvr0Y6hLrvd1oQXGcK4qdZYVZ8VgH/e/mzx+
aCotFwHuAP8aa40mP34AdtKOFL1E0cYGETb844hsW8jyx4Dqvy3J37Yk3cXK8IuWZJbFBXDXP3cl
v//QP7qSpM/hMDbIN7MxJ9B95O/7h9zG0/+wl3CFJWfDM7iJaVj+sy9p8EfY711MFZKaeukmspW1
0f/8L9P5Y0myga/tLTIcbrG/05d0rL+opOkhAvGhC4rv1ZTfdRE/9SVjJ6Z9ozfRcawBHayGqrRX
9hK7WNWSVs80EsZodfjMqrRmULxww+mN9a6NvbWhgNwrPScww13CHWdUx8Em+5752C7xj5inSYLU
v6dCpl6inurvWZEQ7ciNnIIM9nBvND0nZbTKK6wWpEx23xMngyV8ksRryea2RFIyI2qtVbEEVVJN
mGrTw0wlv3JAEMjIscJM5wrm/EvU5XfPfOt6UMtmjSTMqMraZj25tmH7Oo0m49ozyA9vvNw5DchC
Vnnf3TVLvCZyTrZjDnKkbtpLAGe1RHGiEm7PKjTyuwUAUWzkWAogce4Y2qvC1kKqvaS6y+wKXEI4
1HREymkfEtd0NCoVX7Hs7vBzIkqOyrjc2gV6bYPoUj7MwUh1f7ThnlmtNJ4yD3dkjPz+XjdgW3uR
9RICKSSAePLQy5rmbWck6tCXhKlGunEbOTMTvcKRGzHhQxwrkd2aUmRkXQ93tsaZ1s4yxPzVKKM3
mH3VzpIQnOlgpVd6ngPpc8b6rlcs6qsuisMTx07rPETLoIwzSHetDZvaKMtzUKn8W9I73rYn8mnb
2MxjaIQ1d2jW3+wAA6EegK5zBApbp+EXwGVPHhCWlaJDua4y+9gPJWApqLL3iWrMO3P0xiuzksNt
3GggS9PoS0Ik3KtdOoPPpnFFa2pCt4m8gGkyuaRORbBoOeb3mUpzOl5ZczbMNGJCC20u8NKLypL2
LMa0W8c8sZ8w3gUrqzFG1K0NqdEgwze6zSsV4AF9rQ/Ch9mV8LAyt4YwlhQllXaB2hXhTKVfmVGt
HRk5vWf8/4j0rezC/BoMGIgZ705CTr4gbuxpgQUJ7Xf42WdL0NJMKnaUFEjhbhZdcacZ3NHS6dpr
I7Wsq4nxdaVMa8vRvTmVhBY+0weExM+gLDpaSaT7lZVmjJPN3vJrlLU7Du7hVpAt7BAUedQi59T3
TQ0YzUG0X5dusnaTkXNXkfUM+bgHQUFPUL4CuC6oCR4FOwKW8TtyALRtIK+sHhwYrm6M6V1yG5nq
RiC90tGLIPi17jh7ZJvCrd6aSkrUTuXjtOS5MKt+yaXKtiCw2mmdx8aVbdF9gsJwlU3vIsTxXBJm
jC9Ge7I6sub7yQv21dCL0+B63iboqtBPNOuZxbC5Map83Aq64kRhhvZhgnXxaAEdhaYtGxqXjLYF
fmknEUfJkW0F+e0ZcCWJzTJXO9QMBgff49zG5NO20QplL0HcADsCSgj4Siv8uWRhj0m+GYYq3qaE
364tjkJ3bmBml8q1wwPpLuCdqcoO5GqNl3wkW7hoUxjrbNi7OR2dk6V6oH/mcFCTFaQ+Dcjhgizh
EfaC2It6ss80raOCB6xsrEFDas+c3fNrnbr4dgoGM78GO3bOlfuFYbG9cZzZe0g4FW6JV0yB0sbB
7WS68Q3W49fCIpecvGG6qrH+6lQ94tpIae1Lo3jLgIorX1WZcRVmBSW4YXNLayHB3LmVcb6LstuJ
ZXcVjax3hKmCP5TF9DJ3HsETAetz33EPxtM4vXjTCKYyR/J9XysYFhoqrdAt8psSVgviZY9z6W1o
B2A0KmoipiUWh73M7pl2zkl5qNIeUGxctITRVYV31ybyW1XSvw0NsG9D5GY0FVwdRzwIbHdVOUVe
Lom/eTdSOHc2zf4qdsRWnxGQu0abb6cIMh+LO+3MsXuMsqnRrf3E6P6YF1rUsbeI+i0VsD0RWyak
DRBGb1AfKAwIK5wH7j7taIBcj5ZyLiMb9r2pAh6RdODWo1PV258bPVbHaM5xthDlZ39pufvjtU6w
GH1YEUhysp1K3tXw6ykSsDsfS4PgwnoKxLb1kiLcB3V7mIg5uImyLrsHNWzKleoB7kdpwI3rzUP0
XLlWs8Fqk+91EoVf8clp3goqOGlH4dRa16GpdLpLVkU7bB4ITewrKt3B7Pt+hZATqzZL+7citTia
E6kznNq+aW7RgNQafN2J4pmBOxJw6LfmuCIsqHvSYFC+1kqLn9mToRFBiTtBEchvgt72vmlj1MFh
zwKTqX/aP4k0m8+5Jg9IkRhT5abzbheezSwchV4Hu7TPNiFI/YNd9gdiv/N14+rG5KMUXMaLAZ8i
jbrIfez6yb6mNZW9i0RL8MF3iynOqeLhEtSW88g+4m0q5h7bjhGnoPmD5J5cR1ROBxWP41tKVWOx
GIXgJtKivx0lRQ8YlkjcxonTEGVn5uoZant6NjO0UNzFrSVR66Mk97o6fbfQgiC1gNfYZINB3VgE
BwZWOfQTXEN+Vbb1zVyboAKRC7nTygDin28mw9NOyH2GZ3uYhq+BG9UvqJD7bSESClwReiERh/Uk
jsjG+lucDnRxzEYRJa1Nzc0EIpSoJiDA+05CzN5LMVQvXjgiFZrmoDtUOvJKP4mTmtYJapyn2o1x
4ril2d4lFtM3aKlmDfqjyg48c0AFO0NDCjhZVPi8cm9jSqU9B14bWJsi1tLR13th77rMiu8CbCE7
BllyXTCyAADlWvAhzIiGr633TJhSQ15PQ1sf9ah1fKeyNH/quwa0CDeczKp5Ta6Ztak1u15D5W43
pEl41kpvqoveNa3fMAm/zkSPSV3in/dHmVSHRlqqWOVZoZ5TlSzK37BrdPR9Tfk5nWBxbVrglDUE
7Hr+ukSVnwKN6ZNpOF+sMPI+ScSyr2XYlFszwvngs8QHOdaqFHIDWResiAxmNYyumjx5syVfeltl
AEQqcEdGaM/g6c3J/CIH5sRtoJuPHuyLeOXm5khjTDH6LEqj3ANG5Lfp3KXuHqjrdOemASaFEdHX
a+/1YGsLu3qhOm8vtgfQZJ2MhvbczRwgN6E2dNxLWtOtoIjp77iG6mQT5E4oSA9Pgs8wAIpPqLGd
ZmuiarrqGqw5fSIEDF/VMC4nduCQhOmtNnfx57qQ53DqoeLlPfBXsYE9w3Bpar2L1XrauQPB4GNJ
ZgyJ4c7ACMfZ0NVDuUPDhXnCxpr0BU+RQWgUUpnHwpokY7l8oLmsC1Of1noTa5B9w/DcYELZDEhy
DkaSIb227NafKzPbdprWXetMAJ1O5V+jxOgIdekcSUoKredVDy3KT51WfQpRJXxxkLlsezx76Ypv
c14oLFZ3iowxRXZupmCDApuWTqzCxCIIwkreK0gdxYriE66CiDKWFnM4lYyNnrJgzB5okEU7LbYF
9UHQXStmOnRhyY69SlXurUONM2I+hEd3Jt9kWyD027uxVxMIY4Tp58aVOsr6YGAKEMU2GKKqMpwN
U9H5KhV6dRyQf1zzDrNrgyz5t2COW0B6bYt/su63oWcWhzoLTd9I56cKGS4uGENXryEDmluzrhmO
abH6ryXlB//yd1UyIcCUrv//KvnqtWhe/1wj//iRf9TIHlnrLkoB5sFLTquhYy75pyVFM/4AgUBi
j7vkNn+Xl/6zRqaS/akmpljWaaKZDkA2pD//9//8KX+3+fDfPyc+0aH50FbxkHEzPmfKZ+PEdj5m
Rddk1WVJODpXuVG5WMQgegI41Nkx6nXXiKqtka2w3A+AiM0yOJfFpNtrZWuCU/TcolC6zxitipzS
1KFLtsEQqKxg7wYdDNzOXCzTss5msgUiRElymyvOccO5hTCLZnIy5GCt4WUxR9jih8ud696qm7c0
HC4QZSQbqSHk2oocuc0Y9VKQ1SEGwHm6F+6Mlg7LX1ytayaJPGaLBmPecfcveTGjnhGk0WgsOFIB
LdxntdvVt+ht0ntVB95zk80mA9mmJo5MqT6proiRiMhbmbzPgkzYkktMzrwZUeJigQPIjSlhKnK8
bbF7k9aF81xLie/GK4cXWuHJ7Wy3couVka43rWMIniD921VpRsJlAI3BMp1zbMHMhF+cxq4/G41p
lCAcY+8Nv+1bNk5nV1Ok8PQpMFJ+CU5955gERuD1BH2hb9rE9NajiUsByIpXX4BQRAj0pomszAFm
2YoDl4f7tisVZN2A4MxBt/s9Cvb8tmPje0TwyPqppmFHB2O6eI0xHYWX1KgdIf4KFj8R75Glxu/c
D/YlSdHLbPrSEDeMBSnubQcZcDnq1yBziodolrAgyXm6LdnO1j0d7nJtua1xsuzeeBIYd8AeAcy4
Ka2w870qA5Mmqbb6WJ8xP9hsHXFndRvdKDpiTpYpD3qorTngPsqsZGTSFdTzi5jyauvGmdjR2p4P
FsLMNy035CFi3nY/a1NwhhxTXpfgnfOdNZPUOnaz0+uM53qrRS8Jn+HHv6l7rD46CXvp3q9jja0J
oFXvWYU6JlUTDsURPvyQEe5KmFfibelm3NEap2fP5A+l7rxBt6xrb9+Xif/2HX+zohroFH8phWT2
gRYyf/257/iPH/r3mmqRJyxtw9Q9cpQ9mBb/WlNNVI+OIyEjoNIGP/OvvqMplz8xLeKrsVL8e301
/3BorzNg4iLLz7l/Z32FQPPn9ZWsORqNBvm2vALd1D/yO1RPpMqIff+4jAh8omK2bdS3WwAoLmSB
IioP5F0IuHNkCUGcVE4nPkWtnbyjIzDwTI9CVXOxznMvDnaiE6Z66MicvMKAHie3LSsW8PNYPts0
SY6Rzki8HRLSiQUEmlqL4/zIwDXdOqnXA2hIsF5XtSifce+Xpx5p2bxD/7gLBzCEoE2NaouRSHnP
fUy1vne1CLBbW0/O534YO/d2orfryzKOrhMS5q2N6fRoBXAAuvFr34roc6eA8+8pyqE/VOiqneuW
0xFru8hyiIvdj1U/H2LXHM7Zjx0BdAPbQ9k0vF3GZ0ou9TwVxL79saPkP/aXwraQw6xqAyav7ae0
R4Kz+2NrChB7slHFU96xbTEL1Qa/63u8iPr3R3X48dymnK94itOisTEz0mANIL2DrGP263QF3QRM
vNh5RrJDkOtE7lxbuk/kgTWvU6cPi2oNUN+IZLpyk66ck/c5QDNop+s2B00DoKCMsSOxvIQ7IyWD
8iyJ2jloA2IwlCpMaj1hrgDBUVguEtRIiJ5468q4Rw1DWLTZaGS26cVw0YENbh1v8VVWSbphLp6t
p3QiNa1sakg3eXqtRGzu6MXkB6QM3Y66skZtU5TOisKjO7j9uJZdlG7znJhqk6yhG9ugEugjImEd
K4Rw0trLnBg4RjN7wUUtWDr82fS10gDrzCz6isgI51Na5iDywrq5HaJeXjJ6Is9Rzlw79HSSAKto
vHA/lFt6MvEjbtTgNjNIJkHBsBituw5zuYQIPeixPHteGjxG1Wjux8gROEkXMRgVJ71WqczrAA/Q
TiQCQqQuVTo9VjViA6RT6DodvbhvSNWAbhJE8FDtpDbHNcID8lDKaZ4PheJ0syK1KWdoV7SHYZzV
bqDn9mhWpXnlzZKxuY7m6sHydJwVLsbAxO9SlX3TB8vBpi5nBtlhCS0pNegvTbph36p4RgA02A8J
bg3Em9YSWTHKa52RNc2JGM3BKlBdf9OFoXGlj2O559jXrdoEHinsBGRFUeYUjwpWBBAMWX0Bz/Ck
U8ut28x1j3zTVOqVaa2npnJP85SNF4Ab0bGwRvUQQpn53NHiyBd5pvGWlEq7Eth1KIhrUx5pInlb
K6m+9uQE7HVbqzc4e8E4gvC8h//ZfdacJHua4Fs+mUMb22u7dlOUtgVk2pQnzBEtDTdJaJcnh3Yb
V87VUCYwVthrd4kyp5vCK+zjMDaguEkjSoA9Fp640RMiQGZ7Rr4Lriq+LYJkPI6iGtW6DFF/9PqS
H2G7IzPbFmkHMV/TphwIxUaFFS2fS7uSMovWodDWld0Mx5IYGd+cbOPRQkB20wr1KZ7VfVIJ+T7a
JcMCijAoFzaKLNi01Zw8SJVYVzl7/7XWWhUdVECl8KsPntXI04QKl0eja+7nzM18W2nlm9NpNOkG
sppMsH5f6qFk9q2T8bby8qG6CpPQ+hRGRF4RX2vQJsvriVB3LzwRaNA9t7Zg6J6FC6yU2TbxITOF
tcKtRMBPY0bxV5oz3brp62uomqgxnGH0o74zPxv4EvemkIaLRnGYro2xcn0rdeCztK0heOKsSDvr
9Si2qqSORf/klhd6uJTbmBc9FFCjfu4bUh4YHC34IepJIieNqB3vSDSBq8x52SSSLXC/pAP4JkJb
OmJCkLvSjsZeemcJUrbKvrBfO8RwV4R4Kmc1tTrrXKcB+Q4hpiJjcKMGNYilneSSKTXpojlLlDsT
0Rr0egAQLR69ODrgZeOsWU066X9Ax84cr1NuUbtct9r4VrPn3eHVmw4h3uo1fykxxQk4IhtJPaAG
a7wWrRHDaa7cN+I87W+lsN7jqjauEd007Rr16ISsJtnUKkEUkIv0NIyRe/LMNL2OQFUnq2R+iwBD
LGoTghLH8VOpqfuxnrW1qys6EEvoGT2ACBKmblOdz96FZnW5EY6BStSiUbYPRXTO0j7cWl1MfGqh
9Ke4tq1dgkB5y/P+BqnevauNZlhHZFM8hFJnBcGMdyTlI98oCEXZyS5RathN0Z/KQgv3YhgnQFG5
0+4sXS8v3LkAjDSP2Q/W5vd6XPIzjEoHDplZ7mPoBNaRVzj5xlAtytyKnkiW2vktimZ7m+FyPOhQ
iNdao2HdarT4WqhQrpyiKHdthyfZ6sb22VAq8tFkAJSU6Uvb6F+SukohTxrzdY8uFJV7M0S3llvn
q6IpCV3NQRxN5th8080+3dDl7+4TDXpSbw2gV0M33VpuiVBDgchfYKtnR0NCP3hmzauI1U0fJqa+
wXQKr8MCx7IWKiIXu7tSMaFSdjF8UZqVvaBaQL45uOl7TpsDZjA4ZZa9FzrnX1UaNwdTsN1rsPv9
2uZ3gS291YT6AUxUqx20BFcGpYKxNdqYWq8SyZuXICpqs0jsWhuxsNUE2SXBO380miQGVZ3Uh44D
CblniNVNq2yIxuLkJRhP7FLwuVdxXuIiycaq9ltdCB/DXLseQcHQj2yKt9YeoPZatHW6kNbfFDn7
AaIIzPcT3s9qX1g59M7KM7YkA73VWnXpOpejQ/ydDTTvWKIFbTzxWY8tmviREy9AfU4YGSmsqVYi
kFAXqTU7r8HoRg97peWkwhJhR5WBhSwp6SQXCl1t7SGkceICcWMUocjPwm1gZSczFyS9NUCVMqfz
9taUhD6c0ItIi9tJxdG2xUlIXIBA/5lR4QGv99OYNIumrUq/nXHmWYA3yW/p9F3Rm8QkCWkyGhuJ
Q/KEfGgtWGVzEpRrwqa/1oEjNjaq7hVjDdKDMOuwkaUR+4HZXQY6HG/AzuuNFNx+ZSP2ztgXFwc4
PJsxCsfeprzWvKo7jLny9swXoKNhXj/m7XTJYvvFCuSn/9ZSRRu3029qKd0z3F/WUtcl7Kj4tfhT
MfWPn/qniMP9g64SBYtlYuxaaqN/FVP0rlBnoMOBMaebBtOQfxdTlFmGa2DXom5a6p1/izgM/kIP
XQfKEAYOmvn3mCkmBdvPzlsdyp1l0FWypU3+uv1Ra0RM9tABy1YHuwgIYkkSod9pUT3DOI6rbVkn
LsLWCtNsI2TwAEEDmWxeBEehYtQTi0FYZrjGS80pdlCR+rXR6+Skum4qHtwqb3yOiQypS631KB4S
eP0FiIVkQRAQipU9WkbdbqrFyh3SSTkRuIowkiyBnggMU631UFMD1m8x78s6d+67oht/I4T60LHj
E1ioNGA7DHR3OPY+KMESABh92WPBHpUOChPI/S6cICYYbbu8L173Tw3M/yA9oxb+8IlzYoWiBFGV
/pz+EXhqCF0bwzStDoPAeD+G2ZeQXM0FiRH/5koffIPLO5OmoaMOgnSp09/klfykz5mBhcwNjNMD
0VmNb6BHWXkTUmwsavE9Ql9rN0VJcPe3355EtqTRADW4TbXl7f900YSY+SEvIHFxWMCrJBYZRqMZ
0va70cbr9fevZqN0Qu3kopb72A4IPXeIizzB1QEMPT0VinxcdG36QGy49/Dra+kf9E7L54n+mItA
e/Gwin7gvIwI5CPMiPGhjsbMXJsRuYd+Xeel7y4k2Agn4k2nOnp5eNn3aI3I4SUcpfnb7xnJFagK
5EWLR05++FpRXEkKczM51B1hdv7YTA0xH0Hw4DkM039zsb/eQ8gEdRt+KOE/ZEEtn8lPX6eqSRVs
lZMwnpznS+mqxm8FTzBDtjRCMR/bCcwWaqPfXPevT4mtSUcn4NhxPOl8hA+nAD/j0CEQrRjqHqkX
3+ZgdgO7ZIwX5ddf7IdrWSCj0EB6OkI2VkEQPn9+j1YsBr2PvPgQ6zTDYeTTkag0NV2FsOE+/fpa
H9bb79eycW5CwpGaZesfvrwkbx3gPNxD8zQPul8GMj9msdnr/q+vw9zj51Xmx3WYaHgLjonb1fjz
e+ocSmWnHGNMPWQ8+ahdeVPWxOEn6E37PqKT1a5GMvY42qAIJ6wjD6PTr1/Dh3tneQ2wqFnoUCLC
5Pp47/STnlIAtLyGvmHIgKzVWIWzACppTvmRUzHZhY45/WY9//4R/iTtXS5rsAShS0YfidTiw9fZ
hw5ylkAiuUay86TQ7h/pW07nit7+TpkVSSYQIkcED9MYckYeuqk/DE4xvqNsqIGDkUR1JFcn2IfL
HCZg+H8M5kRcfv3p/KfXafPFMGfgdIAa88OjldpmMMxSiD1gF+fLNHWWwjqaeXxFmTM4DBmSSq6m
REhEeuWQnjBnINo2CQ84gJm2rphFB4eR1t/ZE04jt/g9y4TRsSf73a9f61/vWlfj02ROhujU+ctU
i15CW6KVQLvuaWQop0zMU/JRmnbz6+v89UlEsMpXJqnd+fXj3hgLADeBaOJDOcAT8uIFWVKkpX3F
3MO+//W1Pi7n3CeuhhrW+E4dQTv24fOf3MZurDFhOSfIww/doPe1jBkGzBSQmcYC8Bkxx+rdKJ9h
Xoe7sbTb33ywumYvT+Kfb1fXZGQIB49DAS/nw66SKRp7PBnBXnZQNg8yM1hMW280q0NIP/nC6Ez7
Yi8ophj/zZJBGZGHHsdomCiMofiQiREcPQDat23vASNq6oS06xqjOzbKNJ9PWdQQU46H4W7OzOBb
P3bZoztl82nOkOEDK1LOvazB/lB42le90lhwm3ww7gjgcO6dqNL2Lai36wg1AYliVSzwqw7zZQoD
s1tlRdTfAHFsX7OAqLKZhNETg06wKd5YBN+g9tjVschrsp6Lvgr2MxKtZptIws/pEcIVXYkS2dKq
qA3rNUIo9FZ0uflpMM2qXo3B99RiNF7fsr61Bj/HgRzhrUiiU2jyZFs2S4uu+vhLF7F4l01ofwtL
pFg4cjk20rjQsMgPsRd2uM8ca0c3hsMQKSrNuyuxaRR0Jp7delDuHdgU7jee/jDdpqXH5dHzCcSa
DWsnCg/5POPQ8MeUFpZcfraxS17GZGPMq+MB6IxkpPbgleZ0Yp/JHut6Gm6+f7yBA/vNKCLtUpl1
BKFlplt3gDLiUGij0DuliDowRMK/qzby+2pFE+FKtTMrlEu870tRptyRpTZCPckyfd7TJ+Ozm7Bf
QerRtOgBH6D11CkNu7sRasXtoukBkGvx9wxRHJ1QDhETU8uYXoIHQSBQagqxMEBNXDE9t++T0DQ/
uUWvjJUw+GxzwGhfsjA3tnR6rNfErumE8dDQtArifL7YA5Bh+KZqvNX6eryJJyaBvrT0+CVzWpam
WV/koRT/G3O5D/NFce12yYAXJyKJ2Z9HnQOMnkOsJ2OHe4kG/3wKBzLfwQ0seK226edLbgtSUhYF
nt9FC/0s4Q00K3h64GQabrCNBqLmNRoguiPp4+4lL2WEQxrRPu6wRZ8duxQPTpTygYE3nk6hyJJj
6mYbbxZ0b5Q13pDeU28RJOrIr/Hm12REAiMuFfiZKD5oriquBgTgdM+y2HeMRjvpZjEfu1pz9rRQ
g4ewlZvS6tJXcN/paeJqa5Qv8iaf5S6NiTKuiZeic5aYz67LY4eLeqeVU7sSKVExmhjntUHNt9aZ
QW29Eckz4imsX3yqxqMX9zdxWEzHRIcOHtXmduiiEtewWa0i0dHyzAePmBneFmhsBTI5zRBwLayL
JQuuta1nNNfmKczjG7WQoRlDj35PRv2aDYfIojr+5ARQiGmbG1cZgbcaCcV0S4thl3r0Z8kwRE8z
aw5DZ4KNYi+6a6LpCxqk16oTzSYhAc3HLF4secjGQWju59ppSE7pzYphy+iyq3WV8ZKb1nHG8oB4
Pz7TzBl8TJUPfR9clYUMP7dIETYRkcvHKMtZgK3ljJQb09mJTfPUzk190cE7HUWP+3eenetU1pML
NDZH/evhua6NsPlaY6fbT3qJXpQg3wCxbmgmR720Sn0ViFBed3bGCyozaDCrfjLmT/ZsmdtxyLAY
tz04h1bX6xsOSlbkD/Df/FSCjFLoyj4huhvup9Lm/FAyYghXpOdMpxSkxaL6klsrBWGS5LE6jJmD
pbX2ci7KKfqkQu3OtYfhTg7TtDHnDl43+4+9GssKWgP92vy2aeUMRgXb8MES6F1WRooCVk2cRVJ3
ZC8snGZN7zBmKSqGFZo0dgRaynJfJZQ+jP5TP+eYt/Vmzdp1DMcYslVGftNo7aMkSMPXB6xEVj2j
/g4zNOB+C1ssWYLcc6ANtJ2LJLVvNTR6W0d24VObhMOV2Y1+GwfDMQG3AFARb/2LCZotWNnkH8fr
nnXyUHgqOpo153Z63sgc5z7nxkw4O1AiZOJCkLjc5JPC/AcXBnZ1/0x+ovuttcaUfl6hA2XIbfk0
DrM37zQ7Flj2BgKoy47zGNCbfcX04DyK2kGx3xANUJYVYai1xK9LooM36uQfV3qnvlaG6/4/9s5k
OW7l6tavcuPO4UCbAAZ3Un0Vi6RIsRE5QZCUiB5IIIFE8/T/Bx47rkQ5jsIe/yOH7XNYVWgyc++9
1re2csgmyIjOpU9aF4nsMPaBKVpn12Nwh53b3/d+Ed4UUQMKMXIih+I/S1zaFK11ZxDUtLa6Ijxx
U8Ovo4cYlk2YvD+QJ+7bOJvqxu8MugZNRexkjUEwEDwCIqvkaiIzez/gptiJoINbgJCTwDhVf4F3
5TBws7JjlDX2ArdLNw5Kv0ZH1l57Hg92WF0K2gfrqAztL3FTwDBtfOccxjGWQwnPJ/Iaiyz6od4D
2SZzclbBS7+oEllomrVWQ8qgoqtboAB4c/eJrmwQ/YOFP1hFKALN0blicFNfmzPOYebtzDglLLBq
O+VG7a7STBegtSv/ySMt7Y6fFl+MhhfU2DDd4jgZ4fSjoxw/I1ftERUZmHyB2mm1pmPKnk6GZruu
au1dUbEvmWDIUyJt1afCmiCE6U5eDllZfJHC664DNY4Hp1EJzMgwOJQMGY9DQB9ag/q4qBF3X2Y9
Ohk31uXrkv9Ez1eGzaMbe81OiCx/D70SV5H0ZX3ENUEvCaLMg6/kc8mf3rZN7QLZ9mZszYpswBdT
utnAIqAAKUkIA2yuJLk1pOaRUTH3F/jyaVfX2ZY7nm7z0n4bjBDMBoZLhmWhQ0xkHE/Mc/r61bcq
DWolMzZByB5IyOC8n7wp2kBB7b5YplavGWPXUwYOrIRXEbZ53K21i6/cuwf+X/nqTRBoD4TArcbk
PTGmBuO4Kohed7uKMqkz3huRVJcjU+2rdPD6e+wS+tVt0+Ap7kPEtRUtZoSxgCiYdHhTWfjQVauy
OhjCnU62nWFlKoWGnmqRa5uX4E4CXVirrCFfHO++teYUFV9N9uRvuqKhq2E3ERpucnH4Vt14cKvM
vHSHtNiQj8ueAc14KtdF35PGyuKUgFTLmvFgRUN3stpS9hv63TXL2YR9OHAyG2oO8FBkGSPbiEV3
aBmIE9AQq9m4SyGh7UIC0LeSTWHvmLI7yTnt3yS1ERVGUoAYKrkKbZA+R/byKNNRMi8TX9rgi2wi
OoTpRA8MOp0Xw5YGLLd+OEfBFN951ZzBveLPju4Y3hNOq8nn89rnSLopx0mT8AWV3nMwJp4rEuYq
yZtb4RBTtwiHZ5bXqIh4qMoH06tMQBHGra/B4WV+Rf6zH+zQRWG7rTC1uLkJu5/DCeQp0vWsijFO
QI1NT5+gxnBMX/PCTqo1M0uBXaqr2SoX675h73ox/MBXEO6p5d1109rhjuxTf52XghFMCbmLedGq
9JbMRng9HpIKcvl4nM1stC4mr8Rpbb3MaFzxiPXB3p6afFWWU7GHgjl+bZjPre0+iC+JMXw3JNEa
zQz5SWhtn1Iau1tFN+uUtlNxCE3aA/aowSTKtt9LkLSvOfPSFTU+uw4HoZPb1+5WhWmzK4dOMSge
s3NujfscNMYKJvy4pqgWaOfG64FcK0wXozh4LcQEs2SCoRoItUxF2SDq6MtoKXPVEbCxCzr1o2uN
eiuNet5bIq1XZRM+t5NR7tqJKXrHMJMIX/NIogPWQOMlFe6uZhLLOSW8qkp1Ko3maSjn6x5GZleL
e+QIlyy5NIyKtLsQ7fyeNfEDgVe3vl3tJadpLFtwucwU6R7q9JXfAU3zTLWe20VaZ1jefb3AuMza
fh1Di4MV7O9NkNikqLXdJrQZavbyYkz8YUUAxVup4YLYJV3tlWdQEcSINR5nZ34b8XwLHOG7BtLj
sJ7CKX40UcbhMW+D/OS2Uq8ITlnhPXNIYNjqJv0GUxefQJecvebeDHR/1wRNuE1U+tV34uTgo36H
cKr7b4bdBtsRU/tBU8Oc+75FNg28iNd8Mk+ek/rfhIITmZaNAKiTQEpNG0F7dMiWcoJouHFfDxZH
6LT9wDASx4jrxWh3STneQo0Nv5vCx9RgyIKGDumNKjD3trYH56ILSgBcqyYhkKGw2+Xv2U1OdixN
54HGhRV1x7jseKL9gUicFV1NF9wDU0hrB7oCAFfOeYjUu94nI7TvELUro85w/4Q0TRmxUnKCnFu3
RKA/BXEevatI8ALyqYwYiBuhEAHui7PODmrKopjHvt8Q14xVLl5mGlPdR0+E/xnbyGioMWrCn9GY
gMhlj3sImmi6NMAaQZ7GFt9NjTCvMsMjz7Jb2Ixl77MsDSpz1pDZqE5gxOkf2QyHOxMTGnIrn3dW
3ILLzcFixqVBkzsGPHhrKa/bCrT4kn6XNl8BMAnvEqHaUvKGHfGSiScVjlbN0aEwhLmXFuRXzvb8
aSArxjapKdA3HnGOO9/yqa8G0T2LorQ3acvxjwmm/OK16KgsXR3x9WTrmS3/aOeKjVQ50clJPJoC
SHIvIe3QI1gmNR+fp6VrbKdatMdIAIOmTtAoVtzy28c/Aq/LvjUFZX+9cLl9z5sPiPjliypx5a7H
1qZLgNbseiDHYmNQbDLrmSuBOoaLiUrXgzbXNbuPRjFAOMYoI3NvZEFYScpUYjVPyWw3Qr5imYDt
xGdY7UXpqcc67fgBacZfZB2ZbxSNly9eWljfyt7krlc5IPVoGNtj61Xjl5xgiN1H0AcpLXDU5TQx
djb5XS6m4jvpUfY1GlnemmFrs+eoRm3f94XfbnQeDTkgFLoiNC9ZDABDwLxDgF272iNsOTJRCEEy
nY1zWMfyheZfujfzjI5iMF+EbasgMhQhlGH2DkyEVTzXuw7PmHsuQHFfeaC/LuqMhBE1ezSvopk5
9PLcGZB4d5qsRo7/WCcx2M43CbI8yiSQKXy/REbvRkV3jWABd74p+uWaFIi+yAKcb7hX41XtQ3jF
5BeuF87VpV1ZFcI1WnGKeK1LH/Pg9VwADycad94Jlyegc5eg91AvfxAJ2tfYDg0cwjqAgFXTz/eR
z4yVb35j0D2DIXTbo18t/2/dcbUsku2xjTj+dKn5Q4gO2tDbNINhfksghgFA6GAZpornPjE4XkNY
xR/y0XgCXxK9z5ZLUynjaXJm/iiO0/qFViK5WGzn+r7D+ncOrSE66SSqX6IEev4UJbw6RsIrTDIc
s0nSlU+RtOqX3FfdMUTZ46wmpQtTr9oism4pDviFlS1of0Uxiql1EMHBD6vUPlO3tI/kOPAPlKBU
Tn3NZdIK3vmQk2b38cLaKk++l3MpXzBd8dFjr/QJ0Ep07Gi5YokNDPUy4yqKTTpyXcO/F7Zgb1h8
X3tPaSjpwLlkJ98qMlvXaEuDvdJtdDI77k7XRbzsI29g1E8hHYsK1U6rCcmqwaQ7tMAvZQn+GV0c
UvdZzNZFEdvWdeWI6OQVDt+8o/LxNhXL4d5EsatWjEWJ8FueggGfwRmhCy0FLBLA0QIiVVZD2POU
+LP5GpsZuG/YmPg6E/RCPgIhEqipTjH6sD6GLlcqxq90R/pr9O6TPotfr1uewdaEmQRCJzqlWNgj
zgHTfDD8BdMf+JR95K3rH4GgTobsY43fFHyd51EHC/eXA3lLK1XG24RjBTsjJq+zpXR1lQxdf5ea
Q/Bdajd6T+sxPGkP7yYkR3YmNx2a3eT5EHbCiidg0eI9ZWIhhKsWdyZ6WRrcm0Km/8LB/69o/A9C
BxufzN8KHS5flHp5S3pOYZ36RTn+17/5T7GDCP+BZIKpHfuCw2j7J+W47yxYCsfzGCSKxYyDsPtf
bhz7H8tIFZMONh43+OiA/9OdA0kX/kW4BCg6IrSYmP9H6vFPnfaAT2DE5xBdw4f9NhMDpC2MXBoS
u1jxntREjhkBiOY0wDP797OFz3OM5ZNswkDo6wsm8J9TH4vKrVyam3ySTaZSacpnWZFyN0RYkv/z
T+Iz6Ai4KKF/y7yJOyNifke7qyN+ivXFvFYaaJlo5of/+IOWcZqLXIWUVj7r14Gi9gsrrNuZvprK
3/Mif8fY8p7xn//Nx3jM833u+G/3qBMJkgViFg44o8NtGJAEtkgY1vmY/heXjmcVLY0fMtS3PuZz
P422Y2lCmkz4RZom2nmk4UmryQ7ObfUfh46iwBDIdVCYYAz7cE38PET3NT3qLkTslgwcPEQ/3U7x
+ECwxoPUbIl/fwWXedHP8ySePTpNDOmYJS3ZlZ8mzNQtNe9mLQ9ho1ioFTkDGUfdVW2kL8xCaA+4
6E7AAnb/+aMYCDJIkdH4LlP7TyNn0da9XSSVPMgmrb/26HdomBj5g4G0/A/v1+d55MdvxAHCquCb
Jm/1rw/j3Gf9lNalPBh90x5oM5JKaJvR17+/kv/mLQ7ET5+yeFF+ekACCnJt9AWfEo4ee/34oEvs
TFX73126nz7p06UDD58gJuaTIARMGzFmL+gNiY788+v1ob/59fEgr2hBADF2dgne+PR41FHpBWUt
y4PUNqRKUxPLNMlu/DK75bQNIxMgS9hau4Z46IPZjvUGThbe8satTrrx6PpA5h63EGzIjKyr4c1P
UugsGalAiypo1/v5O2MF5xjPBPBInx4xbUvieuywboC08o9MCXZ6k4iJNWY87+CPTUk2ZWjDJrfx
70BFedYl8QdDOXqHCPzhqp44Mg0Zz3PujyJek34BfoWecLDRTeweQaBU2z4vMJQz8/raGZl7gvU4
vDURq7yFrYdQPYtPydz6gt60Jh/Uh2i4ndzCfM1yWKup4vsYdui+lBE/OqdPuQOQLK9je0bmiVmG
6DsnirAiIy0aV43T0bOJSJxqzGjcZg2nIrxFBnGX/Lq5ZOFiJtGt/a6ysWywuCRxSnC0YAtg+mjh
W+J8vdah5ZzcUqfYA+b6gmYkaqISpFgQMr0k78t+jBPtXYyxlT3HoJIexJCn+0Y58qkRpf0Y8dvl
yh8s+SRLt5/5Tnpx2/jQ1teOA4QEDLbLERKGWfGgBia8HGaRtxKA8RxxaS4SxM3Xos/eTYt72mfC
fkSP9z6qIfraibk+DsvSSMRSvUBoiMluC3IpebfDAo5tKsbbjMnjkRW9I8uxTPckizorjgFAwwu7
rzg8oi1YuQBsr2I6xVTPcfUuqBWuGNFwEfvCqza2MZA//fHYFypmSGSisGdAhHsk5SJEfUKN69Lw
Kcm3uQtmm58UA89+DmdOviXmgw1hYUSdFh3yjzV0UFHsEfua8tLqtQw3sMT1tySSRri1LY3Gn4lq
Oq+EWbVng1rpMTAq726s8vLd9pmt8RunbdWxctK3APFOdf5Q28K6g6HO8+O1TCjWrevBziF7Ude7
fiRjjlA4ZwXTjVvQRWPOcAchQQ0dIjfo2BGTqgh23YBXmA06wWxx8xQG+86RGvRJMcjkoasMkhPR
QGcv4QBYikOwvgRmBXgxDWnNK7Jfb/GU6W9zO+d7T/YdpFGjtdNdJh1vXujxebNqsV6iUx9z63UO
pfpuz7xb2BYIi8MNpe416rQnLPnexUeYVznWfNm2N5wTYql02tDyNaBucCe8JM6fm9gmXyCKq207
KntNw+zdDpLwHFlMsPkidHTictoYkyJ8MilFchXn4bjt4yLcZ3CQVhgeiLZ1WNWSoKV0YdL/NdMt
8yoMTMmPSobeocIWBh4ZNtXZtfpvUk1675Q15UxIhs12ZjJwGujdqmjxmBqduVZWsUcz/6PrW9Jf
FEyaxj50tUYNMKUwYATIwYj+IVuhf5P0vJRWxdcyrUJf6q4Nl5ximDpBRwKw9PPHgJL6wgzHHcOU
AgffKLt1OeQqX+UpPmKnK3ioWRXJ9yvktKmgm107HCp3jcFbnxPuutGIHPCekWNHsJJ3oE8K22vZ
d6XL77bL7CVVBiBOUKgvxaiCG0d31lUdD9YdJj3nNPY8UTkL6nMfkhdqFlO90cjht56aeY2gnYXX
XdUPb8C2aYDF4JbXiZsHN5bAfuOaxQtzJLLDWtYPQYzLzQwqeIWlYdqQDIrlhVS+4Caq8/ZsDeCW
GIbwGDJMaBgolf0mQ3G0Lu2+3oiBj4YH1B5SFXRr27KGt8SrjrLCpRWHsGhpCNjbNi2uHdnVu2Rw
oLaTQXytmuVcDVvjorAkD9PQJBjySstd58BcVmkUouQQvYU8klUXdcJTlxN5YA6sVnp5Rjxztq5I
lU2vQHzEO1JEadAClKQ3aHTeFZaSnWJes9Y1wXGeQwB509WQo2ZR36cjV2j2o4qxCElOroHhpOcO
Z6vCbNtDzG5wp2W8JNFUFcquvrxRPWuPEbN6DCEvfa7RdOqw7ncOo9hVTPzFlRPZ5mto9d0FUBXO
o3V/HUCTPyhBbGGW1OG+xHh62bXptYOe75uRZep6GpPuMsrmx9R0hscgn4JNMAHUdmfLI6CHdB94
puW1NFpsfvmT37QlMTLEA8QLsLtL73mfH1qNEYYOJ13BuGRAZDry2p0UoxAotHsW91fDg2Zk+2x6
SFPco5EmaE8qVt62YsUxy8Ci3iaJjd7CMAHaWs4WwlVyN3MPdtRezGTESO5S4GJpxDPXH0rbc9t9
lYQr20rkgBADlBF4u4LFLKPIA1zCbKlcBNr5otGEVhRIIIAVjA7wzbrBEVpIJy1XeB07k27tgFkG
KOm9KmGWD42DAtDvTLmug745OYUijNoqJ5v832asfXExDfaS/UpWU8v6R2hAhHdoQDBAIw63ipvq
MsE5FDoa4m4JoPjkano7xN32ju8AkA9bgPs4avx3NQEeIjo6L39IT8Q0cmMymwJfWowrwlZxuvFM
JB8j6/oU+DkjwK7tui/g8fDrZkDJ8KEFcbbtZNK6uEN6C2aOstRzkJvQvGmmfB0yB3eetAROPQ7X
LnYuf9KnqsjyDX3PVzfomdEv4Q6TU65cz0h2tuD9YuHQN56XGYuexGAc75cje7U97XlPbYLQM2Qw
fRF0B7shYWlsopc88fKtDwBwa5s0V0k+o0dKH+2qZ4+2VsQSmZvKtXtjjexgvuJ1jd9iVPr9Kifu
blX4tGWzwjCO6eiZwc4nPgttqGD5hrrTMy314egOblh4EM2SFkTWUBLjMHl/khUuDodfaxUcDNT+
CG89B7f5krvz8wmb7KXY7ZVZHJghsN7Yg77s4p7+dtByTug4Wl5h/WGiZs+cK/KwrS944ck8dso4
XVnhnwq1z4pVoJj053zH8ulQUOx+KnJ9wl15B/g+bWk99CYCrJw1dfDxgBT9bTSxzf19ibGctn85
jYemZVIaopFdZKCfBY+KfnMZD7JgesMhrIoI+bYqsjUrnOxLjlX9F2jmF2DJL4CS32qa5QN9L1z4
YY7jfBY9Vi0HHJekUBYUWrg4nFnnU+x2cpO15Qu62HCbI6a6FpDVv3xsOygxLbFP7IFYDgttWZQX
3ks9N3o/Ypr6Q2Hn/Lvvhz4aG4bvm3SSPpUnciTrK0DFckjK0gXzrcr32ml4p4aOLHew2i6H7YI2
Nn7YzOqutOCsCf1KXkuLg3bKj+AoU50CuyEjzKbyBKVdMbCeeu8CI1Z4rtqsPedChWgRmlRCq4w8
SPSsys5I4bp1McJ/dVzTfYFZMusVkeFEWxiWfwOLnw04msbiARIA6SHLrljhRgzWw4wX7g/X4jeB
Kk8jynuBLl0IcqR+Mzf0Q8SoQOWHTpD14xmqXjFvRc3ouN8aRlYHg2Mj3vnE3nn05MFqdqe/fzx/
q7PB2YjAxuC/2EcwAfz6fnYTOmSZWukBz2q694y4vkCS9adl4LeOBZ9Co8IWju/avv/5nuOt1ZGA
lXsQLodnEbNwVTCj140dUmeIvKbZD9z8iu63/vb3P9BeOgW/voAcUZyl/4MDd6FX/PoLkai7ui2G
5ICFNY5gpNTh2Yii8LnsORozP/am69DwwoWk9ZADK2OG7g0MC7VHEF1dgRNjvYVN0zDXdrZxJzlO
ujnpuCoOzwTKq+8NfNPuuKQix391XP63X/3HfjVNu59u9Oale/k/fwGnrl7KH//v/16+oFd4qb7/
2qr++Jf+2ar2vcV8xxJDNWPioqOz/C/IiR/CXTZpY3lYUHDlsUT9s1PthP9AgQl7MSS8w3FIXP3/
nBP/o4lt+TSMXB8593+U+fZ5W2AbEninWKNNakX65b8+lZXZsxonOdmQsUUOaaTd6hyP8XRfWiNg
kdjz/tC7+/yi84E+4nPU6XxzdFmfX/QiTEhlEdNhHLP2xiTVi7yn4U9g899MKR+7K3ZDmiWuZX+8
jD811DpPoRP2yGubQOrvOd81N3kNuoEATrk1jaGAJ9gOG7fJjFtF2s/9T8/Al7/e6p83P0xvn952
1jF8KIsnhc399+4yGnnGe5PfHUBOFyOCTziihZ+YBwKOgzPAv/Y0wiBQ+wlfjrWSqAIX1V1qpGvF
3O0rwkXK8Bp50SUGcDaP2HILBuBDviPxh3+2qCeOSk5hsHGMMmOw60WKoV4XTNN70035rUN1jvCZ
sGnICAvMg/CfUgCvoqad9ovcnZNjbMHhrRuHehWvy3wwm9G6Y9Igr1okW3dodMYvndNHwOyUfAlK
kKxrVevpPQF7s6OTqB+Kvpr2KhsrSnSO+22UgiMbars6J/T4npN0kk8c3vkXh5FdUTGf3OLFim5D
jQp7o5U06yOXir0zxsRorSM8Tc5+Caxm+ugre+vPqX031dQ0UK2Ta6+Zq3PthjBtmV5yFPbT9qYu
NFRsDQyDPAofARD9/cvZGdMDM/ZhgxGxPeW93dygLyDbtvfHvSBQ6giWl6/jdPohQzj00GSz+Mrd
sbczXsItyUoFvcOxeZtqrJOABHiGhmqC9BPVT71JAuKKECzzIIaQd2hgEOt0VXgWxKwfmiaZ3kFn
TPdmy78yma16FHUQnKOR2qmJO+uuR1T5mHVDdR5r9oOyDLgiQL3cDKHxQOdRkLJBykwht0pSow+V
trdIQPNbKaiYemT9a4A+7Zsb8V/jnJ0HYAOZWAfEkkAn3b55GxWvM2OBaS/SvjjWATd38uWwGfsM
RYtyqrbammBSj1JRnHYzgmdyakfiwaP8lm4BECIQpFe4BD003LH+kZsE2VXEpu7KwjRZNKz6mVpY
P0RhPV+GjeZPQbfcyzIKVtbILw4HQ15FIMnAbzfetRGbGoUsv0W4WYgHJSnXOs95FHVS6R+4uaY9
VDP3Ona5E5EOg5Vb0QUhvg9mMtYZrmuOXAJVrbceObxQzYxIHrAkRdGtMKPmjZPGfFkNyXRvD5zo
UQLnm6Jt8h3a0e47DTIqVQbAG6zBaGsMri1hT+YBxBuXenlECwJHfkwtv36GIEoC4sydcEU97V2L
578lg/upiAk9JoD+aTAU4WOcCa/j4B2hGHKB1KA3tVJRacM6855N5HLfiJzuH2KbZ3NlGzRXP6oq
F9wCVnqN1tWXeMc8HsplhD8m3CjhGx252i6nTgTt12E3eNc9x8O7KlXyqfcE2TXIILezj0SIkLf6
2Sm96SJzDO/rGCyCdSNDJxBUQ/0SM0qv1qlDWG/Yhvnm48cFHLWPAJyM23GSFTjVNJsvh2BSj0h1
89uJuCU0/DHXxwI6chqLrFyLwUzpfdlgmgABcVwjF+pNFgJIC4yFnvI+CRowCjnnEnPyna2w4cl2
wo4Dm95ECGLzSdPR797StnefUqsq8/gA0KByD2k3G9XWMaGdXhIVEsGwiZ3evSV0Z1oBIJnurQD9
TS16iN+WNwLLamYisvEHI/FjNIZaniy1ne6rq75G197xhJ1cI//Smcq4qc3i1vD6K7eU5S5IfO9m
RuSz8ny0yq0Xo3mOrhD4YZPweYnoyCfH0s7vFdbgbb+I9nt3ek0DHDT0AL7niU2KRxW/YalLCF6h
4q+sXp6JtBq20KhHpMBx991KVbONU0XoVRPtioFMqXHOww1Ac39d+B6gVcmp050xjKAB1tOafMmT
yIITDb9mkxYNMTGSWLMjljYi8IwR/aYJ2L9Mc42AsSjeYznjtXC8RWuu3GkNFe92qvx0a5dGeJEl
sbxUIht2IuGFbbLSukgJOqIZF8QYRLmRdKrBdiA5P5Q+KhzZOQHcH0hQyGV5LSsr2yemL9dwtsyL
wUvDA5SNr04ZhUh/fHWm2+kUW5trD5V9GMTaa0JjXpUz93AV0yo/2DLFOWgNGIwi9IO0ldY0zftj
PIQWiuAQ1J8XEb04RYp88KGHsBWz57GBBzudsM1Beu22WSWaW4o6a2V1udrFKN1G9LRk3ITB+Bxg
QV0NTj5eVGNMxVLk+VNoRLW/FqOY9phb0EX6AhkSVRBJ39p1OCE6zQ2nM2S2PWKDo2R9hUnMIgK0
PZcgoyXv1aVbKHmBD2je1hDrjqCA1IYQTd4qtUUI1ED45QlE/eydpGjH+3lwsnWbobkPVHUYio2j
jRrhsphfJLkBR3sq5ztJBFu8tlR4GGcvPJZ9NH1Jc2fe6IheVV5KErftouRxz/WqGOJ8q1zHvfGV
y6iKDjuZpO1AUKAM6AvrcmssFquByJ0NZIDsmy9oXgTmNOzcaCL4K9TGrkng7vRxeVNYBns58phj
mjojYxOtNzFw6YciiK19kfLEEz+VLESyaEsIn3tZE+yJ2H8wbjHHBXCP5um0QA0KukzkQGwbAcXX
jZurJJr9czh2tli7w4BEmWAqD7tIkl+SH28dZVLiIEgT0V4Uc+Q89YRvAGDziFxDsFuoi2TChbLO
SBf/IcslBML1K0EiV2ZqEi8bwsVLo933gEKfYKylGLzomp/dLlZvpZMJLFM0PAictyor9p7gT5mH
IckB75vUSXTG6E3s/MTTr3VmgT4qhuVcIJubcYQYLxpNeG3AgOnCGAsykqLJz3wevzI5to5uz8y7
a3fNeEIVK+g06QG0NrikLK2968kGGTUznH61JeMvPDFTvtwbhErLESnLHPahxVWXwR4i4wPzV1DJ
7juc/UGu42EZe5m5YsORrMLvVVEgj5uM6Fbi/OEdwC549iNTRpvYW+RRy0y0gXxxPZNBeGvUUvJz
6ezuetAxwSYGZ7suOeQlxASO8nUkVEhuE4+bZM3szlPPqfCvw1eT2gwGrEl9l5mfMUCA+M85uUSb
vhqXDGiOoeLrSOyrYibZNNXW1m6+oSlQHPEVV+einUn1NBUd93pgMW4zuimlROa/STzF5h6WtXFb
gaV6SG0g9XHJSYOgEXkVzx/fImy+OYbgWBo1zbIoY8R77zLOJGnoczwJm8b6wjJYfXekqPXGwH/N
ro0nVcQsRKuy5etgK5v2iWX0D0RGcu+sxggqNOHttI9LMV2Y4GK3Sa+HTRyzl9cctp6QSNNknZbj
b0jGm9+NxdFW/AQndq27oByn92CS6Z60jhobZxrS1x1olk5eBOinhmR9zO2wufn7IsL6dzXEYmin
XqIzzgr0a23W0pSo49jo4F3ZzSkKWQw5DpPy3kB9vcFSxfHeofmkuTHPamLmUw2EaG/6zvtTQfM5
xYoS5q9vgsEQASYZQb9+l752EEFkTXdwU07+hHb03rUvOps+BILKyeVAmIRc2S5GVenHdbkl6NU5
oBV+JkacB7NympNy9HRRDbL51veue61Te7wfOHHv/nDhKI5/abUsXzZACwWVgHB0ojF+/bKBH+S+
Nhx1ALWI7U6hGp4kL5ppZck1gZSQ91OfB4yAE+su75hhmexTi/Orfskk52afic8fEAW/9X9CyjbE
TAhJAgr33wrfmDwAO0xjdSDRAPdLiDB5o5hInIkv0/u27ZMNS/O8nRx8u1gYOUFB/Ez3frK8pq7O
bwk5W+YXAkdu5NXfZVr4N4GAmBV2zYyMqUX20HTA7v7+cnr/5kGE7hLQvKBlvehgPtXsHrNaWcDl
O4wNe9rkpxLAWwnSuZ7QRci0GjZh4vjvUAP0AUpAvDMs+yXI5ONQxc429TguGR6JNr0sgZe2tvuk
pawu09nJL0yzdJ5tN0/GSxnLSl+0SRIgGbfyDePhmfhRXuiSpeQQh6l3bTIk2rZjyXm1YArOARK5
/ehMF27Cab5t+mGD3q5/sN3euNUxhnMDhSfm8Nj0Vnblgqd3AKlxaBGce4cafAxioiOKYM7sFMvU
JaDjjRVUZJ6QFk8yJsPlrD5Wc3NTFc2ypoQMQ9ycA32InpxJaCq+umjXtxBbwWUDkz1nPTYAjV18
HetEPywwCuiAnl08tw5e91NXzL4+N9EQc5FSjIzGqLpx68U5Kea9dKKCuBwn6yETeTYgRnfDD6rs
hzpyLcwtjsyPvgAsdsw50myiefkfIg700cZUYKLWUSqsQK88TtwXoemq735BvjS7MWf61kyyJeow
4RfHZJJuRxZhFBQjR3n0IsTaAA1DgoLJmeqbJTZw1aOZUWoiAffWysOsvC5DJOFjS+EWJK58nbIe
uUbapXskELxP+cATieK+2ySV6B+6tHj2W+rHRav4FAyFkxIKu/hDl2sX5hgXCeZaoE5eYty2pCwd
LTaOm9xBrwKzjEUv8Lri2OEOfBlxS7+4k8XZ0C5s2GcoCnZOF7RfqESD89SYsBEHin5RVOqxws39
OI6WczRHVqNuqe2YNqIOwBc6rN25GJECEC++s0hAP7Yqo2qp/KU9nPo3pdP2D6aFBR8Nef3iqRZ9
vkuFJS2qZ9iDMztARz7qo53RUCJ9TF5hL/F5g11Wky6qYPEFHZVR5LqdDyhw5h1RWPIYn1n8n505
N2+EW3JVSoLhFdXhiqDo+VAl7ImNbOjKMYwk8CNcttCkZLn0Jp8GUGk334bJDxiu02ZREo1EbMn2
lE5+dRYgxfctG+i+IoeH0WelHwKXOrob6K8HSwcoZCx5Veb0h/yUMjkYqvkdl0w8b9Nglk+5KL/o
Ee4pfhnKbdOLIWq5mOGHRKwtlz9aGcvBefnWo7t4j4OUCf66LpZ74AyQkpZXdVzWd5OQKLKK2aa8
Zux3Y1tmYpWZA5oJeMX3YHCW99ykgE9Gt7lBKMOdqTOOIh97MSnjC0AztqeL3EEKvhx66es4eHdo
rPLrCn+6mGMk7qOmu/bxGCL2X3Q7VWMexp6IYzem4+Goqbn56PhUDo9POSC9EBadk6akCiaFNqUv
z4GqCERw7iPhrT/aA0ZscBnchsqWhiOXfmnkzWkw7XJYM6gKkvc2+B/2zqw5TmTbwr+IjgQSEl6p
uVSaJVv2C2F5YJ6nhF9/P9Q+97btPu049/m8OMIRsnBRkLlz77W+hTd74XUrN3qOKEYmTS/Mi+he
iVpnD00tNcNYBgucUyjJBqRtd80w0pwre77iiOkzGAM+kUDvSBNn4RWsfKQaVggXg9aOwCQ/YFwj
oY52Bo27aVcWvDGRLpxbK3NX1I4QUD7dscNL3dIRXGTWvCw2cqzA6afmc5TSccGfPT+XsMGC0Grz
k7E2V7Cfs6xxosfJs3ZqVktX4FFq4K9dEn5TYdHsaRaWONvk8m/9m7dNUmf0bssqRgsgjK9CLGu5
rAy+vrygWGo6ke3/fDSxgO5rSWuorMzwAV1Meakra8VHSu+CLa95qUx6aNi16KkNa608FXZ8O0pO
WrghehZ3w+q+VLlffWQQgu5ENP5lUqyz1USUG9RakDqitPlCsgzFR8fxaUdIM60KPCEM4oq7pl2X
4S6sOjgvOR1JP1HUvFnLP2cTna8SAHZP8dr1pi5ZdwEOaB9Nj0dCLkP3ZWgwjsRmGN0qgCnAKtbn
h8zVI0cdmpEuHydcu19v5a3n0yGNsjJ7KKaRLhI2+q0LsffpbW8we1rAuCXjW8WST9+JJip6D3mr
IsNhq5h879L4lCHNnFlP8FrGjU9i6cYFjwNGny8+dlPzqXbtDlwqXySidjzTuSgvqAbKi0OK+qlY
vwOCaOoPXTchIET4R3E+QQ0mjXZ8N0+UyXVGf05UufUEeobFlnXspeq8+gNiaGxFa0rvW0tw7Gla
ehYWjYjkAtw1lJ8dq0m94ZiTEfWueUIqTXHSc9gpeLERm9l0Qaucl2IWY/WR9EIa1BM9YzsJOSr0
FM62i4zLorlM4vr68Lwts1pxN+gcMRYnfuA9p/oZr7tVrOcJQNVn3UK+bWnaPNeKqt0gIGfGkD5y
MwXLWzzyHmVYqN8Ld6w549k8a4YIH/REv8zKdZGcSuk0Z+bhNBHXpdJmLrlrMzu7XTwr46tc48Ij
cBN247M/xLRMeCdbutNljz/pjbJrN2r4qlbWRs9/HSJExoub+BxCcDvVr+ihKTka8J8ncsg5xNRJ
fIto9OM4Otw1gEz2CWUbr8qYcQ96tI7bcpyaF6oSAmwGjTkJIVHlU7cMTnKDD4pFFoHT+K6qQirI
GeXqOPCFz162XGcWLfW3v769mHORssUYMAo+OxN7KmxEeSoX5LfaMuY9GcsJdsyKFzqhqoyUwyIz
OjzZsganDSI6Wa5rd+FENql5r5HiD3KpXJyhHGDfGsWr9V1anEwJPSoAbzQcyYBqDAcaCXziCcBQ
Oh0HT37A50oG0TqJIQ8LwKuzEr3RNXnnPuyrP4fZ/x1V/mZUadts5H+p7H8ZVT59LcuvXff1619n
ld//1b8YouYfTBVx+CGbVvyy72EMvviD5GLO8BZuE9vjz/8bVLp/cNRihkjnUZqoCDhr/SvwRv7B
/OtN/g3Sz0YM/p9YagBK/nSq8wCYrS4KYcKh8tklfzzVqblFoDOhCiQlrjPrA1mLbGgYbqeJEqxg
chSsZ9jpgpMO8W4HA9zstH1QUaiOTUHniuYukHnLUeZNRwDck0ZTtXMTUdILINZlgyhwV0Sufim0
bmhE4kD45EelebJqwRjIdyZaLZHcEXT/ZaBpcxrtLjo4SRltXZSwG+Yl8WZZoPrPdJwC5ePJRxcG
4MRBfLfJS4881XSuXmTdeJ/KtitOg8Z4Sw28HzqltoKlczOmCaVWG3rHck7yJ6jXELvHjuZWYFtu
hRdyaA7WaCxnfIl+vI3A57+GFHNxoIuawMiijaLrqp375yztGTami3iA+GVtSw6M42D61yIFB+0V
UfQRYhebjb1SJNUwghtGhRymoj20yBqPU4KOsrXn+6quoOmXVrnH2DQHyzBiGlQ+W0G2dSqd3Rle
SFoPeeBI0iZvlxOlFgxZ4zy2hNvupkaKjVikvPiQSE5DtxicVxfzzLHPYIBS1pD7m2UTG+my7VJR
XQOjUPGu8Qwau9M0PJlJLVFTO+oS4Ss4yNos9mhuONMv3XKPw6C7VokRBoz4nlxd6M9zNri7boJz
H6qsu18yVJnT7AJKGSq9BXg/P8gkVa9DqEldmz8SzNMdzNpOj8MYWQfb8sN3IxXtPk1Dl+6cm83X
w2yl15EDRjr3kBJv6BYWO6/IicKJPQ+BZtvuwSAkNI/ZTTwsaoRW9nnQzq3/Ctdp+hahAtwvAjvB
pgkLlLYMkO/lPHX5ZU7rZ8DO6bOHC/aTgVjHDsrFEddAy0aU9GunCX9XTDOMsrqm7czENkQGu2Te
OYSKe2ubY3WdT+ZzDNAf2pMtmyMJP9m9rhoy4qiMbi1IzleyQUof1KT0kLZmGoU6DsaQzPu2y1YV
0iAzCOSDns4ux+8U66wfLOy4e855HnMC4ijJdLWK40ygJfWh73BCluxDGzT4xdaewDJtQSAQu2AW
iFZQ1N0ZhnP0HXgR8VA2161rfaryRoWXxs51zFkqf+8mrXooQH2Hhmcapy4ZZGgd8t5OMwUpbSr9
z4xHmmQXIY67XaAW3HWD5RWf/dIOUXGXEJi8fnh2am3ftd4Qt8Muz9STDLt0h0DT3BFK6p+xlFhr
SGSHfrqO3fqh1gZ4LyAiY3SspcraZyufJJGGjmBQGG9RZlbqTPCI1xnbAniRuGWh5L4XIxXgSuFx
V+56KD4sccPwWdRGdNPMqlDvBQiNpoXdNpv3pfaH8EsKHnfDzupjBvCD2IS8tBND9ciT65BN4pOC
wmhOmtlGjzllsCDW81UhpTeOHOAYk4NLQUuHkBU1+zhAeQlC0jPl9RQV/rtirp1PmUmJGVRiNqOT
Gfcc8ctm0ndULfLLLO0+O1ihHuujmhuYbaORwLJisBf6u9LJuCQ9hdYNCi2wH2A2LzZIjym7SEuk
rookV+yzEM+B5Xf0lBFHpgipSUyubpU3W5ULSQk8TX+Vof0XWMNHoOFKq2gHJ9291aOr946c+KvI
GdUwe+vpJsLCecJJbl21LoG7lAZts2LY/OmQStu9Jv8Rr3zi896TQ711slwiEh9sZl2mFR9KNXqH
Km6zO6gtlyUi4zxoMafBfXbiq7CuifaaekkxhW6HlwredLOF72wS9uFaZ0+1CM6IquRdTVm/IjfZ
tVFlG3uhEvFIJGXKAJOxBUHejhG4RlnewBSsHrxRuUw1m/GDk4YW6Z22f0X4jh3A9oTcrmWE+RqS
WLAsQ05J3C3z52ZuXtmj2htAoe5+UiF+oDGhPWCJRjziZAr3msiZZ0dG3T3NqpDNoeRoGqnutuo9
Y58b0DbGUoSfiV50MLCb244xD5k0aXjE3SNeMmWCtyh878NIMgVKPgiTTBsafaUWtZDvRZpF1Giq
uGlOP8aoZc8OtduNjPS+N0oZaHoS6aa3YxOo1ghghITT5c7103TH+fXQ5WX9vKiKqFl3HA4mPZCD
MxbI11NzmjZLZ3ACy9FpKOnD7G215XGuYonnXIvOtyWuZ+L6j9qXVLYmNofICuM7kGdUwkuc7RjY
RpAafG8PJYzhkjnJmKVxkS+0RqFNjY5ffxpJ5b021WJ+HQeLwHLINruMgO+jS3fsPQMeunEgFbY1
B8p9mtQ0DUkDvsnE1Lwjrrq5Htq+vSMWyr944JU2jGwAzMS0wBo7Hm9AgS503nL3mC/jx8aTyWUG
5v8eRJi4CUPT55d0LpXA2v4Y8KFvqsIWNx0pbT3ZZI5356RITJBctZ+8tWXfudmW+Nz+vu2ctRNQ
eC6M086/zxCqXJlpVr1OXQQIEnjRLpsrcYpF9D5EV79hPA6JsVQKS8JMO9XKAHIK03iBeil2U1w1
17r05ysbnilNjTZqtmAL6i25z+hItNk/G9bQw8booo5uJZ46n1CFoBu1C5iIDspm8T3CL8rIQgpZ
eGsQq8hcM+K3YZ4HosdLDUUAhnDifLJWPYeWcboEilRddrcWbh9vlTvH6tFuUy9iywP/F8VPncvY
5M+xyH/r+9/U9xZSNuruf59gedt+JePor8X993/yvbhH4vwHueKsflD+YT2sGtvvBb5pyT8cKMZ0
nugBCn7qfwt86f5hudY6RXnTGr6JFP/PM4+aFm0jPTeJEVf4/0mBT636Y4G/GvwdgtssZ9XJEpP5
k9c264YlwyeU3KWc3VN/Y5uCwOE2ytxbH5IWhZLboJir6HG0e3Ysk5PxNCbuJgvHagLCYrusWCqj
zOj6JOvtB9JKCAl673h4TwWdmhZjyFhmUPxKMd1BIRNfKKkmXPkoYxJv05qxR8rLYFbUOFUMH3dk
QigBm9EAOK8n6m823Y8q8LvGezWsLNlo14vOKpNNUFUR2cW9yh9QtIcHNs9la/u5uM2ypBo3MDaG
IWislvJxyeuWM7YtjWcljFdPu2ylDqVuieX5BtYFhPBlSS+a3tJJEcTxcQLrtJOi9lcOmBs/tMy4
0G5Ver4bhyX0OXlPRbuzaz5x4A2IQVAx5fXWF3F81YT0Z8YEGXE0ua8JDKfnbnTj9IYmkbFFtq5u
k1ZgxZgTHSeb3F11hODFqJ197Y8BLcNkflRO35dbvon5JZyxvxiChJJgxqr3qCS5TEFXkYS9wVU3
nhI3jK+WSesXkm+J8XGlFqeICnSHzAMREpO4Aj8QJvwIlK1dv59bEqiiqElJHcLFfja6UmBmdDww
yUW44GLLJjUEdr5mUKfoAXFp6bhbtozRu5ZOv5o/9OTruXd8EksAjBsLvcU3qreJGGy6nmtVY6Tx
N9XmEn9Tkh27RA571EXuFigppqAqVvfNIjUinjiLttbck+XkFu15riCbiqIx79Fn03YdIaaFElYV
a5/jfplqBCwkTQ83JAkuYFJnUuqzIMJvibu5NOqLjEQ6X4tyQEFztjI5eTXmlxK53Y4bATmzQPdW
39GuJVZwKRMTUJ+dzESlx5w82mAoOkluZ0aDOohLsgrBxpsIQbaYBxP7noWd7woXtHos6pIxmDK0
XwP9GVUTOFWHmiUmOArKSkxBZ2ut4PhbHNHIrAlb1Ip1BJSmUXSl0lxRb+feXBiX0WFciRpTExNl
eMmFsPv4yg3L6RNKCJcOTjcNRKAxYDmhGI6ZDCH6JJ8cIVh8nFMcvIDeJAjAHh4jktBlnWWLtlD7
MkqSu0TPBHHFoJPSoGrDgjebUyyOxnpO+m2bVsO0qUO4BZcFTl+D7Enamyrm29zWuLbJpimNdglS
cs2iO7cUK524GAp1rZeCiMLOEYc2UwMKPzuC3kaxPW5SxXAqN1RyY1QoRvcjpSxJaDQ42m2Re9OL
lXTkM/m6ic4oGR4W3afgwQfjs7H4Je+U4WL+85x0dm76yu6Wfd+w4++jgVO9ZoZIjPo8xABuPKs6
yLBuQSYJianCNxBMHlmJ5kdJS7E6WY7bo4HJc8vFDonr5fRmbberuv02GfLZGZhB2AlezMcxs6jY
pyw2q1OLK2Tr1YZ5ZXeggZcwte7pLK92NOmnjN0jVjOH01jAfDI9LNr2zin9/GzrAVHWF21O1ZWy
u3LZcqXs4KFc2eVmtBaifFfVHiVZurWg1N6D1hbj3h5AI1L8WVeVW2LP91J8zUZSr4qSGLFwvchk
K+zc4nvOZJS+to1KP6WiN57tNh8/dEKP7Y4+ruRdkxrZRkqpVpiu0Z9oVIAFtimldi5ZY+0VPyDB
n4HQYmRhudSEgest2O9kR+4rXUamsrWgh5LLEf2qC3EQWySWFbeN1sq+Ho9G09rVLuyLKSLBl9Ez
uqWyHnDllWH+ZALofTdOy3vJI9wHSUfWBvQfYR1db1L3TAvMbdSH87a34uakfGBVO7qmyEENmqP4
7yb9UIadvGH8NowUW6i3ryesq9dLv7jpwWsq+6Xp9UukNefmniO0uTUTghk34yj6LhjGVA/XqA/N
m2U2u4cirTiGw23T0T2S+7C1glTm8zIfC1v1ykmxlYZReG46Vo0b6WXfjWH/rad+U08RGCGpMP59
PXX9KSl/6JV+/xffyynX/QMxhCMppBzXA4WF0+F7OaXMP3BUrMcbAEUgNOmk/otApP5A3w9ORBEB
5v3g65AkMdF7pdwWJsvimsT0Ux74P+WDc4kfJDAEG0Dq4ffQgqVr6v7k65hpPdr9vIYZhbvZ3znz
tZfe/uVu3P2NyeGXSyAkcBz8TCtug1CnH/uxpFmsnEpGdmNoB9mCrXkuA8/llv7vPf9/XGX9oH9x
crRUIBoLP0Pq8mNnfKz01/53lpRf79WPH+QnuZBKKglogUsMy70S93OybZbXf/4UNOd+qm4hoZgk
B5E3YfFkmFTcP36QLjfqNBqByNBraD9XyhXTDvEl7obVOuBgdnywRQHILcdtQaIsY/LO1js31eZh
1uN0SOq2fWfFi21uIApysO7VveUUo0NWpZ4ufktgHdu52Nq9HvcmW9sjPAtAkKoY0qd5pXojY0yv
GBBD+q/gFnt4MT3kq3lljkeMQBvHb2LkH77pbjNDxdd5Xc9B1gwVaXY4Yt12gEwocnUlvMUlqkIx
YoqdOb4WjeGCksvnzSIYmsWGM171UTHoIFsVlcuQDZfBL5bnpOevcR1bbMXNZ9cqFLEnhb3zjGak
kbGQAW51F5lZ/bMuZ3k/hWTdGeCzdxVHS4iLJInmgyn3XeY1lIC1ee0BG96lttS0GvX4wKrJL4FN
d1ELaISKnXgGvd6Z12FINjkcEOB61RDfh+k4ffb7Yr4fmZiCnQ0xpqsx5XrJ8nUq3fAlrgmV2haI
ap/xJzr2dqLf0LbraN+hIf/NQJBOGzjN+3e+lXjxXru9vGeh5xetNxjV+HU1I+AJiIioN9TV7rao
w/6SuyCXg0RGxS5Es10TIkvTz3dQiAx5aoAdkF/7ziDKdO6HL+min+ViffVL3/mgLfyAiJuSlz7T
6Ukgd4GfFzdEAk7y6wrnpLM4IQhLG6GDFLOERle99O8Gwe8rGBFsUq2yc+E73bvEmFGg60ZdFbRM
r+tiCne205qIyKf4fsqt9K1q3/pt3e4nNGKHyrLA5EDniTZ+OIc7T88CXgqa4bMzS+uIhZcLWIu7
aZq0P0yFl9F8SsfHrFqGx74O+eHW73gwvMS5z6O5CkQeZmcEkDKQRjXsRs6ct57P7URmiqCpaGtr
a7F23vQTPahTarnFnjkHZA5stGa4GVrAjHIII3JCaNil5ZDR3p4Qi1n5KluPInEwZRu+hgovHk+J
Ed5Ykw/uHmERhwpp0jxOYY7fzhh/tnM0uxuNX/w8121zaYyVs4rS4uT6tXsXGrZxQNFg3ymziC6T
dN6FRQOqUcXQH7QziiP5IK51alraIMOgc73Jkjh87QlDCfx6qvrAJg78UGGS+CbTzPsGabvfdMAj
rlpl+q+xL2hWDw1Cr9VcvTO63ocX5q/3I6QvszUX/SUnNiLd0MLJOcvUAtmEScXg+dYlp6Z6AmO6
7MLZM0cu5pgHWlA0OSc5vXhWOH4sAdjcc6DBjpbQ41qzSCGMqmSE+gFw/bOZdf25oZi+GWw9fWpt
u7wuh8i/1eZiP8EjJd6i66Dd6sZ0ria87Hf2iIYnqlsPUE9bfuI4MN2388y4OY37G9017sXUTM47
cE9XWQ0Q1myccVPPvftY0zUl33JejjjFvREmh8UFGnNdvHIrpGe2CIWcRYScTUoszFtEhhXF+yS+
ycTtkUXRb3xs2jH9Qpx6dzRHFqHM4EjBo0GOius7+3quu0Nf0SnfdnXSbdlV5G4QsrnKJ3fB5F01
1O3wHaIgGnN+pxPG7jb1VUhaBvkb/G+jJ8usljOB3s0Vk4B5kzt46TaY70QaOEXqn5iHOvsqTV0c
VJF/cjofXCtY010tIuPQxllCp8xl6LEBWA5x1xf9TsxtezLeALdxg6YojEODxuIQtlAXcn8zhj33
QVcL9AmArXe49pvXqel7lrExQwcsYe/js9n0rAIfk8THoTAqdeytdPyqBBxYfDdQxVZ861QlRIR7
5D196rLKfO1ViY45ByP6rfMJ65kx2t+SXwZ7d/1xq0RWVMRgWmeNEhJVgJoA8hKu2GHC2Y1eBhmT
Z3jh7tJglJB5CIlYL0kMCZBnFxU+SazMCji5r4xvxLbvle67LRhOfhQ+nLFLEoRbb2RhC/XbA4B6
KJwyrt6NSVFwFhvKA3DgcEclTeWPCAJtDkR1oVfuaDV8QrPanzzFBJaw49TZemGGngYNEItnO974
8O8B58aOsWtNP7l2Mz1em0YfkVdrVvpYETNggRRBINha9hgFULCLc9qZsGxU5fYk9abo2vuy5j8s
NOpbP4FabOpOvLyFxiRyhUS/JUs6tVce1LRK2Jd64LIJvGa8PszqzHYYoWA3xlOduKTLGZqv3rMX
kh8VROYht+Mvb3DabAXnFq3rXIUmrBcG0yQqNqhIefsNj8Gk057sGtrd5Cf+oSwb9JPNmvQqW3xe
tGgO8JDgRa2bXecTxmDQiL6bMJKh3YLiWvkkQ8Tgre/sdpafzKLJd2XNA06icXZeeKI35Mn1O6Is
yq8pezhSeNE9dZm7vONB4qgdG9Ftnw7+Y7m6W8C7AOVt6/Lgtbb70lOQ9sGQWOElR/07/wmhtUID
H2mfLfeLIcavYxkazwWAHmDSfWpuPcP9/j1lvQ6/zYL/rJb2tBcMem9AMxtPUZixyOACO9NYWOXE
OvlQDkCN/GrUe0MMznt7mOX7sTXk+9Sp5xt2KncfN7GxnbFGMPKV4MxDnDz0IdqHKmb8arUlnpnM
1jdvd713ONSiffLQ04m9IKqZja9LrxzCvRl5xtWmHBaEiTyIe6LNxZUizmFX+ml/Kube3tXICCFX
C8lLrPz5PID0vQ29dRJXEFG5eXuWF8+ko2BIJoicUK4WL9E3dB/DHYkKWIEkrIgABG12K9AcnVwg
9y9+GI6HPkR3isaSzZBJOl//QnZq1mG4NBtY3Lio7GIjZvDCzmKuhGTSl7JZ37AozAgYwvJW4c/Y
4lEZIpDG9fxO6MpxmDFP6W4ZZuKWTQx7uT+nTO5Vemszm98PNhxuORTgzKdF35mgkXag6PRtozq2
boV68aCayoD9thQq21oIF7AcoancsTeNJ5BZcElD2ZHF0SOwhEhXVk+M4Ms9rBtCTpJSdVfISfvb
JkLUBkkHSSM6eHLgzfpMhvG0ty0AllixSuOpEwKJqVegm6SbjBKTOOuNiJBakTxUp8HyFhPpjQ3h
A3R6Dz2Mk3di4HEqaix1tp+Yr2+5TLIgawdvknilS2cNATQQGxjOGl9Gt3NHz9I6g3tb7mkhqbM7
yXnn9XN7YsYJtdmeRzK7Ct+FCAQEjpWu7OzlXriad96w8WZvmMjrJ2ng8mXaHI+XAVTgBhaWvEtt
s8S9tTThsTNTeUiEvZxSL3QPEwqp9RPdqlhbDGWcGJNOYnWbISkeLZ0xaPZIT1lqqES9U/Utws3Z
+jiXs4dvqmwe7dEmty9LjCvCO+6GelZBJYlEmFLjq9f0am/K8sUeaMnlzPQufAzMSAIjCULxrt17
XjvtKnS2hzBMGBxTl1yRQ9aSVNcItaNCjMnMcIpNH8932PkqhsNu8VmVxmfw47fa6uy9pfGjUbc1
J9yVVoB1+2mCfbppPSMCNtMcuBHjhmxMRDfQUInk8F4wh7SbPiVlh4YMBhZviqIgs8k+EF5P3I+D
9iNXNZ+3rFGqBgMgA1Zs0krq8Lou42hDGDzEwyQnZLKyGUrSPI8/RsPoHDNtYombBz3uUPdXj7V0
rQUtsWiQMlsxTEK3vivLrH6BnFcG7OrFB0LlyAVhuvuoTBK7CGhHXT+M83K2GJcfZB4PRyPOHDJK
okbeSa9d7pDHt4+4OLMdYUSKKBJEzlt3cd2dVm24CXE1HHJ/Sfdjk3EkF3lyjlLS27ExNq8+Su0r
0zcwzMC88dvtVEX2RFrFoLPsqitfKe/ND9otvWvTH6DRgSaq7scmbY3Aok96Fy4AfHq6vCDw4m7f
e+gDrILZBjJIgx47fep22OrQeZWxbJizxst8K80+vS8deGqoP9oPbkt9xbgwtm5mz+8/ZHmszgwg
yvf430QYQPCx34l1h3TNAm1C7MUY38rhKk48eR0XXf++7OHQYXKdzrkTjVeTMWef8d+iY6R1WQXV
0Id3o6qLL0WnEDq5pgQHnVYWr0itzmZmyUvbQ/Z3kSeDYhlLyVm3k3SZMTk/26WCfBc6Jkj9cYxv
KmP+mo3Ke7EqhYPdXzwmCLi5yY1LN+lYzAE13sJWGBeExwyGRn87t6xkaZ4e05rJco3Zha+X3fY8
c6rAPm5jnzSxzXU1QqSkeDJyIjJgM0KhI1CCxg0mKx8ncmbW71s7tbeZC2I+EFI1w9ahMmZe5BZP
VVZUl37JrVPbEiZDPV8Q1WQT31J7A86ODm//keOSa3yd+3yog6l1TiYd33e90dD1p1954BQzYT1J
wmfA7P2FTTG/o1RMP+FlqJ7TBm13PdRaHWoDhQmouybJDmPlhE6AlZ7seaMv76VtTiWNeXDpGbIb
PKDtlJ5Ha/gaTR6sRNo7F+175ZVNZfu5rAUCjnAdDxjZzVKNWEU7KHmHnvSzDQEV1QXb+4RirKn7
GwKFopuUYmjtWNLCZbqItidyicrDwfHA+/+lL0UcDOxpsAoU4jA77JezX3XDXSZoMkhyjt9BwbDZ
uJS5Y9Ad3ne1Xb3aBtrStJs+EtD2uAxEy+0Vc6WtAf39kMJ/OPS1YW941fJHMFvobuK4aR8ckXfF
JnRJFIsHsV/GlXXJE38Evy0PceyqC0p5mspZO6hTXPicTVMreoWGDyyBlTBwbCMi/0arJ4467CeE
JX4MCyW2deS/pzk9XYnatA78Fmvb6KZ/lInEW+O1t2PVzwRshwwVVjsL921Or33QsIexVdwxwA8H
8FKaAQlDOe6Eeq/GWD4lkAXJd0l4YVs/DqaSmmqOXX/vGA4K6ti64wzyjgU5u9X14p6bBnFzP/Xu
rs7L8FPlZ8smbyePxred3rg6JFPIoWUcWC3Vre6cBgvSVD6USxdR4Rr3+Gn7E5iQ4j5MDPdO4STf
ughhbsx4tL+ZUVlivZjQSwxJdA7LeLgtHR1fcidzHmVNyhqhiktoDB/S0iBAI+sOBcvtbqyRHKAv
FvdADpBNTEzuqj6r0ELa+WPPioukeVWB4MY9tPnwFDG3DLQS7tlenZj91H6M6bcfU4ZZSPh7fWYh
NWiD++OFUk4B5CQ/Co1ERv1bld+GPsX6lPf1q00O6YcO9ReT34jQy9dKpKm4MushvGIUm27plgB7
wYzxNFiGnjeGD4nqJsnbyNpUZdPowG6r2mFYpxeOZnHr35Rzmz+VBTgBeAr+IU7WYGFaWE9Igb4i
/BsCsVCqtI3dnsUCnNjh1ODkzCgoqjgkNYQbLSZJHkXim5ghzaNBRtaZ9995UYX7DvElaU5hFR2p
CvMt7Y7PncUUEuVWCL+V/XWeUE9r95PiCIKG8wIH9p4aCuAHc4GNMXjmZ8h505WsHAgLjU0jJSvb
2wgNzIjn/VsM8vjOEYZ132n/W6Ol8S7i1Xu2LNXGW6erGqI6Wr26EBFMgaStDvBIh52VNOXW7Vf7
PPmov8lM/rULasHYd1xg6L65Kkl+7IK6OrfK0fDa4yTp340GzbikrngmmwPn8eI3obe/dHbRDJNd
bmJcdGlJ/Uw3UtrR1EmqPc4VtATR8UdSoH/Jozrf/nOH9+8uBbpM+R4CBoel78cPJjq3pv1o8sFi
L3rSKYIA1MnmNZLe7De4tl/YgXwq01Ir3QiX6C9eXDNzxJzjwzkCbhkuWd5nR7dNKTl5eIMGP9Ch
Gnm4/vPPR76AadOHc1Yl9o+fz0lC0wJe3B3njLuIfYRduqVlx5lU/ubz/QxvIpjB54VmhKHIYZA/
I6IyFv+lrg1w63Ns4/sKjZTFzUsxWdPRzGl/IBYz6SDmS3w9YFv8zfXXTvwPpLb1+jaIOIh064zm
p079HMk6hsncHb3CoAFf8gExqTz/8/1cn4efL4JDWXjOSt9iLPDj/dQm20XvW+2x72ndqimmioiU
Hd7klliOy2zpYISZu6taiuR/vvTfPT+obxwLXiAwunUK9teRiu9IbUaWDa1/yuZdbTsoy9O1EawM
gXyc2C8nmAEc7f75sn/36kMzpDbnmwU2uOr7/zLJsTu89agV2qNq0vxsFuOzS/jVMXJ5an3F8/vP
l/u7F9JmjRESN8PqBv/xchESUpO5N5freuepsZoDh3+9a0IlfrPKmL+g/XhggLhZkhM4C434+YYi
+f/zu8QWDy357dmcw+GL7nk2jS43iW52xYFJtvgEGoNmEgP+/8dDi8fCVa60cZn/8tIou1+IJW6P
torkvYOYBTs1S+x/flP5CtfxlWDw+Tbk+st3KInHHmTB0vO2CozpCg/2Zx2YMq1/8/393VsoMZxj
RaEr769D1L8+LpkeynGGlXOcpgbmzVR9dL3q4z9/nN9d46dFLXF6C/kuz4iJmHRx24P0ij/liv+e
g/p3DwfPn8mXw+MBgfbHz+H7qYf3om+PNbXrNcxZ62xVJYOycUpeYoMVhrQ0cRtBFtnWeK5PXmj/
bkX79dUDmISXADeB8Gld/LSiSdDtNsDV5hiZeEH7qidbwcyaSw7n+pTVfrn9T+8r11PE6VBHWViG
fnr3mpUhsGJ1jkWpKVDc+V7FpvpNKfHrC47jCQyeQ2vX+hWP4Udmv7RZ3oCMIk2gq6vkf9g7k+a6
jTXb/pea4wb6ZlCT0zckRVJsRE0QlCihBxKZ6H/9W6Bd75qH55KhGtfADtthEQSQyPzyy73XXhJv
fOGREfDJUDxzpdn3BLbBxQb1Dt0ZqCSZxtGvwIb6BKhp6miN3p2Q6cPHj+3Ma4IHbMLNdebqyJ4n
7n98Xa4oMljSXoW3WF/L/FnzSebIQHbV4Se4VfP9Gjujh/99qZNyhR6VO4dIk1qO/3dll3Y0u6Gb
Bpt5Rzp8V073o0M95nD+AWLLpruvS+KxXLasa5B5gJg4/d2aijZaIS0a4IVN9pwD9OHQWAOZtxAP
L8OcfaBdlxbAIU6L2Fc169xs0ubgdflw1VctHWwQNFAD6TguetQyn9zoK9j57TrLCs65ns4HYFjO
6WKX55NmBbCHd6T9NI9BUepXRuffjq6bPBdgAA/tTPgh2+1JIgXagOSmZzK4e5eI8sThZNaoRYbZ
4L4I2RghWCTNobiFzYP0isZSUWU1TuOefmNieSTdpxamn74iLq4zvYOWau1ysCt7x9k2Hs/GN+EG
ZSneE827yGy0DIhdw+XAfL0KEMBPXjSsbCqJgKdlauwb4RD+8EKS0/54rBExgiaYPBGfkv9krIVF
V1N9jDyXVFMXnRFYe976sItSlHeLIbT63ccXfF/wwDEFfILCGJxpcFrwEI/cdT38j13gN/aefmux
ruEIX7iWaLYhovGLmNbrnZ0E0fHjK5/5fKnmALCaaHHe7zlkNHZa3LrljjbX+K1zewNBvzDuHMNN
f318qTM3icCD2YheB3+dlo6ci7LfHNsSJ4bkVKQzOMTjJIgAy7SUe1dliIwVB+zjojdp2n988TP3
SV1luZyFszNAZ/J2+vCyqKXtVJY7DO7YGPryLhoipB7pKP+4DMCFyfdEyBnbK2c2ff5zoqIHpKLK
SGe2t/84jhjbTX9o+Yos64+HKeUGgimEUew+dPfknoSqqhbGW46uALILKQKgqNMvfe+4GxpPL3/6
AG0dozf1jQ2A1DldtvA7iNKG8LJDVmPtkD+WFWeInOmo3MrUJ8/w/WTPxShtKA3A/5qndCewB0bs
tgV3ptl3saU91pP/kg7WHRrtT2qQ+Vt+OwdyKbalLrfGnO+cLMdgFJKx1BBigPFZW/RKg8rJF17e
TYtpDhbPzc+q0fNXDChFg1kAd+rV1TCR+9V8xdroDhl2nWrETyah5LVgBXABmhd//uoovMmLo+rg
iicj0lHsOxqcnuR0tYcx73agsb8krv7JZd4XjMTS6WwNLZxiPMyTQqrz9SFJ+NG7TjO1O80r7b0Y
WBE/vpn3swhXQXNsMDPrLnXj28+LsO6hTFMj20mLjhadHuIt299e6d5A4OJA3Z+W1lh9MkuamEne
jZJ54vAcBziqe/qp4WQijDimmRA4I11wrMWsdQKywBBwSj+VHGKrMSDxWKuw7S69KRAce+netkEt
vc85R96Ao7mbRqe+JRM0A2oJIvG1LMAu6hyRxbn3gdm7u6hRzie//dkX4wfz5scAmn36YpAkxDkn
G/mO7nSJYS1ID9pAn/PjF/N+huXFoKukpRSYM7H77YspQMC4ZVTlO+yUhKJU3U7PAMR5f0zDR5rq
BC61LfMQoKaTAeAAaypFXTIRDQJbmxbG+8HVh83Hd3NuBoKOTRvOZ1POs3t7N1Oqm2SraRniIZiI
nccyNTgkf4A1/EF08J9X0ewZkYmyZNjAxE53qH6TuB2Cq4y9Y/gyPzuZuDeFDB8/vqtzHw/mIZf0
zTlR4HQYQ6oojani48kTXHjZzMg0QgfvKy5BGTn+zx5D555uofpkqTo35yEkJX2Mxff9pofWqR5b
cNp2UWSSm6QR5hxtRPog0ukrH+InVzs34Nn2mAz2Ga1w+jQhSCIhxR+5A5qWbeF6eze9mX7GfntN
RDhdOniIHiE8YBeQL70dI0FrDi2wyAwjea8/JLFebTQUxzACrC7nbM7r71PDr+AZNd2XeiyzKyf3
rG3so+mcRuFysJyKlVFDzsXgix6jBe3zyUpqnH3yHjtsvkwsZKeFjwyV7hAcw2oz2BwTNPWz0QTV
ElWZ2iee/9gOdCfgI3CIUVrJQ9Z3ag+q+nuMomNyRXMQfQHbhpb1wh01Qcoa9/HxqDzzrXGmTQmK
W47m4umCmHv8Dhheqh2UrRcxGc1GF4gpwxz9yvj88bXOPA7jVWMMYIAG8WkZYxojgbF+Q2kfGi86
DQe8ZfqzGvNyh6EBMzPOk08qjDMfnQH9w6WiYcV619Yn2GIc8Exze6nzLU4ibWmi2uEcA4OOBfn6
vpZ9vUKN0e3+/F4Ngy4mHSkKxNOZ0tYC5Ia+qnbs1a5qt5d0pfMbuvERqNToYfSBE3x8xXNvkpKN
NgC4iYCp7O0XwbfSN8quq52mR/VyNDpUCaXV3PR1UOwKl430x9c7s+Zwg9RQFgsbxeLJF1iEErJh
xaMduoiTCxvKnF5X9cpCEfu/uRRhBbOfcw5nOFkQhGcnTVGyRTOCqrx28npaSDx6x6Q1jE+mr3Nj
lGwEhicG/rkf/PYpdkjiyonOwE4V7V0bV78cp77LFe8vieobvy3/PDOWCQzThekQB0GFePLajIGz
Nkz85W6Cjr/Qvf5WthKyLjGjH7+vMxMzLXWd1A46z9g45vf5jyaOwPWIkIItYB45j7iAtv5U3318
CcfiZ5zMym+ucTImAi3NUhse5A5Bv7HAYikOylHOrdni8gvzHiTYqw2sl2IF9ju6r3rpIRbirLb1
ZUbzr0UNSdTfsgJLt9Ysw1hDG853idXIA5yW+MYMomFZjoTFh0Ivt8ALOJbO/HGJDDbcxw7YwEkf
hmvHkGh1U47vb6egQGxVGtDAqkLJrd7VuEJ7pKNf0lynOqySObYtkV/iwYu3hlTjPneQaHZWXFx2
mux2wOHvkipTS57wnC5A33QBK1rsECeSU9HDLiaf00EsnPVEQFjJsk/SdvPx4z03NlnF4WRwcsg5
xcnYdGtFfobL2EQm/FwPzbMfk4MHD4KEyBk39Dex6j+2iM994dTcFHu07zkQOrmeE49ljUWx3OEl
nHtOV72Z7fum/KR4fd/ys+mVcrBFbUKbLji5jD1ksSWHoCQQI7sRIsFv2/s/6+yeQ2hCRrRl65jf
I1l+smWyzl+XLi1PlM31aUEWiKIuBNymXVGN07d4wJroS1u7weii52s0M+xxaqcI103W1au8RCSo
tfhI3drs9g4qfyfttb2lt9rGaIgNDBGGMuDElvNOTrCD9IcD+GbRD0gBYWRHq6AhRizpvGkVGeFX
7LZ4iienXmRNCja9mUS0Tvl9IK6JX3g+jOvUz6etGPp6g6OL/15MgB9Vk649zTMfoAx99irOvXEX
lKAH/4GJwpgf2T/miERXTkH2Y7nTm+eR49DF2OvbzGi6xccj+dxc9I/rnBZG2CGLHIhkufOdXF9C
FMVMHcfrjy9ybkF0Yd5wrsB5GySwtzej1ybEfFuWOw6dIEVAzWUz/lhl2HpjNX5iOjt7MfqV7FkI
sXtX9rqSyajM+Va02C3YiU7bzhYbFKBoqZvkk8d3biJwafuzWmDZe1f85uNouSkqqp1M5Y0JZgXC
1/hY5fJXk6BZiN1PnqRxblzMZ95sYJEQeKfnNJMiRMO3qdPSIY9xeZnGwZ9kT1aAY68g0sQ7yGHN
chCBdZvoIS7rCFNDVCXlpR/52QY+/whRYOSLAtxoT588j7O/HhMibST6t8HpxNgPIZEgMWVOX4tf
VhA9xGb3NbfQkXw8os5exwNHS0UJWeK0OFCdNsYCPd6Onaigm9M8l6MG17mVnyyk58pWmlOINvT5
b97Jd2j1JE+GaC93DZ6RWCFx7csbWTmH1De+5FV9V+TBJ42KcwP4H5c8LVjTyc7R6OnFTuuHbdRW
v8C6I253D7LqPtlzWOfGLztSDskoH9kLn7QRmt63xTR4BdOMOX4nvfs3IGHCxSH0LmnfRkt81skS
1lO5TurZa6AZszJTIvoLgMjaNFUew9pXu9bEsYCrDZ9R3EgwRQHZ4UQTgGZQ/mbwev/Bd5g1F26p
EExpaiCQYW5tVuZvvTexswDMHoT+HVM/AcQOnHhKvsTvyNMerWTdEsf6lfg/h8XedD4ZTeeeQjA7
dWlxMG5PD2DJTlKqxJ+wm8S0x6WNT123Hx3hHOmZPkK2+Cxa8twrnp1ZCGU8mq2nj12kRjTWFEO7
hAgUdHEt5NWJ3e/KIkYnXKhZk/7xB/OqnTgpCFHMgGkx+VzYZp686Ugbc05J82LnFlOwjPsWIHkM
mri0RucYV3n+IMzCX6U2yslXu4AfN/lD0U7NukHSt4WhiHL941/qzHOn2Jgt0AHGwHdb3sAdfbJi
rXw3RwWvYzkC8oopG8e0IvNKEoGBLvLHx9d8h6r3AVHO1Q2bH/ZM7/a+0eBMIuz4otUUImUlwGGD
INXaqBByTOC51oKRgnLSyddBJGNoJSrDeWEbq49/kffxovwi+MKRY0DT5KDNPFkVkUa4RZMU+JZT
i6OR2deQWPl0g7a6dI48GW8Ppdk5YrFSBOTQRAbFxzlqIuPuurd6fTOOof4tJhR0aTaT/o2yuNzG
PUMKxxRU5QEeGpL8XyNibKbsbm27abxGK2xDSi6bHfxwbw0dzlv50ZFYEetrZpXDFz5bTGgjH8Jj
7LfBIde9J70ds0825mfm8Dm/EA+6N5/QnzaOaLeluWos7j/Phq8xsrTd4A7JI8DBePPxsz53KYTX
aA1wo7NsnBQgHDrVdTEvS0FlxSvQmrObbxDZIYjz6PHja72+t9Mvbe7+WuxeWQZPt/+l5uZtXyRs
DqDlglPnwBiz12Qb21AAwC293DgalR5eN4PZX5mmFt3A7w+WtpWLLUlxcv/6C/0fvuETfIPlvlaa
/x8l8A53+5gouPkqKf9JxPr7T/0P7tb9l0+3ip2XOQ+cf0ZzBiYpmyydeI1phJC1yST/b4aDjixw
1pTxjdPPY7z9DxHLJNCTo+bAcTlnm7VLf8JweLuOzM0RZxYumHRI6G29+4RMQ4+z1ondYxBVxLwW
xrzbLiXiwBHNdwNI7pPG4bkLcoKsM105KGZPiQ4Zdy1MgdeLhdFfGQiUtlPQDtdu7iMdwqL+SYHy
9sP96wZZrXhe9IHY5pysWkHqTopzFvvoVbH7nAZcwOLc6045ELk//m7fVnqvl+JV8645rKZOOZ0j
ZNzHnI4b9jEreuc58VI4DM2c3ggHybhqpil48LLUuJKhM9x+fOkzdznzJRgNPmSPd6HDfZ11o65J
+6jMFAQ3ygOO0ByiHwpMS8Un3aeTBfD1RhmBTFCc9lLzne7GhgoHhDck9rGvXC7kCQkCtE/xGy27
xgNEVFqpiA8QjhWbNdYa9c02KnIghzzRlrpJeOWf3r6LwpWSBBW5i+TopPGWGnHY5lFoo8S3ud2g
wOSmz4Eq/8trUW847KhZcdlJvV10o9TS83gcbdhIvXHVEmn9Ag1iuG1TUzx9fFvzovLvdWB+zi7I
KEq8ucab42zfXipphIQF1drHLox/K8Qc69YstE/e5vuhw0WQrbxe7L1uj6wq2yNZAJcoRs9j6ndw
031XaEtjyvAYf3xHJzLWv24JiY6BhoRQ+nctUnSHRjdphnVMzSQD5NtxTSPUlLvIpRJPfp05z7Y7
8pEmwXDLUbG1J3zL+mtB+4/dsDMjmKRkpj19/lRttvpvn2yIVCIMSVU4Dn5jHiyO80iPD4lDEJpi
hNJmxwWWmfDcxqkdiQ6cP15HqGTLDCL/qIz565mQNhvYwEih85xuHjJiCYciE3y8XTjcIjLrcei0
1dEWMlh//PzPvWwXCCOymlmufDqiBuHLSnq1dUwcHm8QRHyy0AuZ6n2XN/Hxxd5O9UzfNkpQzrHp
UHO5d8NXxA0A5lpohxB8xwRYVIqnkhLlaepBDHTlyOzw8RVPI8S4JGcYHmAcl09nRj2+fa8oCfC7
sVk46CERIigpYXwpqYZbFzDZbUJSagF7BJNx7KfmHei5YF0MDbAyrSS6BQ5evZtqlr/XGaTBSacY
AGZCaHUMSnyV4DD85CE5r1Xqv79yh4UfjBKCCDfgZGveVrz9ncEtpDTILfugcr3Y6BOJHlXiapuI
JncLZbmgub3M81QCE6lSThPWiH3cGym1vFiDwON3DAnQS5ahQw7oZBXNywC+1eWIceK7MmuNmVeX
KZwOxyDSFvpwYD/XsT/c5i6sID3lj0mk2HuP2GcJG51kJM5566em86qjH9nWQaY8wMWY4RlCwaTJ
NcLt4KGZIAIvY0JDDc73HX608mLOjoogdjMMYwnQpqhNLOBzZc01OC88ugpfb11zeE8YpG3i3Euw
36u4YoQIm+CmsfKaaauFU+CSnWFVRwXkR85BsmV8wC/avGRpXj95ojTFoTCS8dbwqVo0KuAOIkIW
Jd+NMeCVeZPlzoAG1HIPNWEZT2WTuc8ZaNtpaaem8zwagXqB8j+v0ORlPBekoPzEwm3uutqrbyXQ
D3gmmBK9JLK7BfNvBwwUpmKxNEbDuCOaiI90AFVrh5m2tAabJxom4QMbE0JOLEu9SIWoVatM4w49
60yB60PvVqkIzEHnEIIY2DMykmDnBwOL4ktWRGRNuVYTrCcVkrOMtwAKsBj5vyB0W3uCCfkpRYrS
aWp4biDRVf3XilqyUm+EcnNMrUUsiTKzwSItRs9jZNuxa4+Lohwn7xDPhckrsCEiYO1CT83hFsaG
y8GfrmmAKsvcuIJ8w6jJOAB89tyMpzmmqWiWXeWP5bLTQ889iHm+1MA/qq2yuzrfmpiz66XleLCS
JHliL24V8/1VejRCN4VJcBWz++RVOkXj41P3SSQhk5P15i/ct1FajOUO9t+DIhlVbXHb0dLRyGER
hs9a1LATGjZw+Sg6mpJW8RIxOwncXj5BNUgK57mraucZXyaZvPRjgnyFa5VekjUBDcK64K3MyLW/
l11X3vlTMl7mJOmsajXAXkg1WlYbI9FJt8qrbg9oissorD8kYk9Vu9JV6N6h9U168pN87PWA88Yr
WjT6kdTRSiyKLAiWiYPTdHA0ezmW03iXBbqzbqtYiENGbAyVkZuB0dRVedOQcIIZPGyLX5Ujm98+
2Sd7x/TaK1Q7LXE2Q0puQJsxM8E+YuLqdQGZutFG8c3NM6k2UN/dn8PkgeduSuLKAZBGG7okHoT3
ViQrI61K3LptdRVgE+vh6Csc68B6gI404hKKqrutyzE8ws706q2vevdJJKAmx1JM310kxgeysCM8
zr09fSeXLlsjB5iWyuh4jX4IW4fQrfJ7SphnQ65MrFaZLr3tXIwScDjUylxJWWjrmhoQq5FZbCA/
AyuIcWWWbGBv20zhvc9qsU8lnvLRacdfYVT10L0S7WYMquIb8cPwG8eyWYAd5RSwJmEVhD6WRVCd
fjJpqxBU6LLtpLEpRMUP8rUrkFk6078V4gjPJJRxUpFyq2qWWR0g71hI1/Ojan7zor+g0vV3IMpH
Z1UmtAvt2Qi7sPMgBFoUEU5bCbXMG0W+TDVqa7Oo2nuRubVYdqXatE42cuyh/8w9VX0L8sRc4MYc
NkoLrVWb83sEgCJvWJVgWk1M7xcu7viFiHTeqBeZKXCWoLzWm1Zc081gUGv0qzmzCRvjSjNTPgml
2DGsKwFt54j5lgLbtAbAnsy2zUskdSakagqMu1GfGLK4AYMHiRgkgqYwOJC+k3gocWTUOjBJD0U5
wgmtegoNe7iGy6UtvTHHI6YC1mO/Bc4CEMmujpXM559mDLT/s6RhCmI2pjATFbPtwD4KRRclnNtN
xl0nbD59Tk3rnT3Q091hoBdPQjBsAdJ0FVFJeZk/mRUqPjAzRBDgLzcruOuxEsV3J4198XsUnb1Q
nYcrLPcaRQqq3f8q/L6Olk6mOY/gZYO9jAO1A34BPLkcoqRdgN+Kf6iuIVUTj6pjJ1G0BBpWq2/I
8lvtK5Sgytr5ZuxfdTJNlm4OPyHG8LNLNXfajP5Mmg+iwlsgxOjvO0cWt24kfpv59G0wbeNL1pjN
jnmVHC4zIPHBboX5EjVx9EIcbv81aj3eHF88eZVdBvHHjrx+ImQ+IcSkzhVkDwfg62pAE0YCrMs8
vsyg6faYcgf9iMpjvKzpYt3iUUug/RJubixc3gJUTvoJD1rZDeUawnpOFKK0yeCd8i+1Ybe3ReLX
S7Ax6qfdacDrwNP/gAwAFc8VkwlbykzchfI5wM5iiesbrkywQELJdBGEziotfPBjffcjFFr/tW+i
7MZoW/1SJpHzPevdLFrKPKarBJI6WdT0Oa8Ce0wu5eBYB43wMHcRd5F6NpNeHAskSesycdojAh4y
UuwGXsrWYMrbaBSzgFSRTITQ6EJv2MRIpO7cTIhdV1oI10CXXehjC+AM7dci6KL+CWxL3a51pezk
MCTgGaEJ6pq78MPez3Cg673YBnFL/KpTahepN1X3eiLNYKllbVGCNPD0bNcyeK56VvjfRlery1aI
bjuwEB7LVJH3LIKYmGGS4qx9zOS2zezQSJaCykLDzu51N5HZYboo09ARjMtcPgEatEhayZ2LISFn
bGHpYwDOHgoM6vRCtiEI/cq8bLyRc4oxqA1/7eeezYRo9L8q023DTaARJkcUu7237dpcv0atqtZL
blVh1PetMaoHPx/tdUd6+xLJKVnY9H8XNoxt0hyn1FtZovcSTgmn+EUvGtahRie4LdS6hAhrHtV1
B6FmWxL+CWwRnP4XvCvDvS577dJJGitaJFZtbXzNQq4BlAlHuvJIHargjiDdYOz+hlc8PAoOO3/2
DjFEvQtiFi2ZC8AQo6GDYYg0RLkIAaT9psdbk7MJ66PdeY347cRDdK1S9OCLKYHwZvUDLPMKBzy5
i0k9kg0gJUwXXORaDhUIqVfYYEuZg36mES8j/GhQBg5AB/+YtfoIMcfrvsXuWLVLj8jCLzrRSAQL
ijL/UgY5eJ8SwvhNDDNvyZqtDHuHFCAf2ochrvES/rWD/b9e6Ge9UDYu9Cf+cy/0IZFRUia0A3+V
TdKM+5f//i+sB/Mf+rsV6jn/Mm20CHTIIJWS8EU/42+arW/9C+kGgP9ZGU6gssWG/O9WqBWAs0UZ
yr6XbR0NSQ5Q/26FWu6/+GkI8thCcV5vuu6ftEIRc7LT+udOjNNgz6LZitIAuwRna293Yn7nooEb
I2PnU+XmnEaiNZA0YpdTOdYXSW+RYht+H0uUDouWWMV7vRWYU3U2KQmtvyurcmfcQWdtHC80wrX0
UAfHnJ8fpVvmdzgyiRil4bOvw+YuZLM/h17UzzrBupJviAd8rzhWeTDB+V3PnMx80ZmafHHCkuU4
joILUCXOc6nXrOEU286zJdw5Jwfl9UPjVtqvbOBTz8jRHn4FHobX9ADapr/ik1rLAolKNKRHPQUQ
sXW7sLzrLTtqCKXRWvuqbbDkrsy4wnOAmbNZkFbSrYVPteHVksP+IqntFdqf4cqQA7G0Wex/z7Oc
RB3VdD6PBRjazhj66CIVRkvh6pIxTQwDeiYfM83GqCGXhyr7YRdTeYx6tl0ovOyVI+3sm0wVSVVG
aK80GuXLHG/YAyyLcY5rgm1mq5YoQVGI6zCA07gdQtJA9aHTnhoyNletGob7WKdCy5I0txf1xA7u
gXZN1yw9dwAmPsmJfQYVtV5vwte2hzfZjfkFR91UbzQanXey9u3nFoLbtIC3I57syPYvXFShd0NP
VvLCzDjOBuFIoRVkuG0Ii+yNuyhpqG5yMWcbkjVJiSUrCjfFsSHzVaMo3yymKjK8nI5yyo8DqjVN
1mW2eW3yYJal5Hv9RyoZ3msoXEqtui35/8a44M841ph5F2LO7wWFTEXlNEX4kMLpTpYOPJ+LprPZ
HeVxRIuC08ngweckriVFMmRf2YIhXEi/wy44xz7doTjlNoqW9nfvVe20HRp8eVbcOM9iAPm5ZeJl
myEHNR2Dct4D4U6qjrSw2TdzuMsNYV3g59TSTo/g9vL4gAeeX6A3ampOL0rpRRRdKJ5yBNPhAkwY
ZaJDtF668gcvt1c+zEPzKuzyPtwomHPRvhEde8yoSpuXNK3AxGeUOQubFGbCCKpa5ts8Tal4K6oh
1S1cgmCTBe0dfjwLOv/sT0D0F+yxeYKSXFzOy2rP2tsuouuBzQCtAdWIJxcvArBzTCOkn5v6tZ90
7sXrFV2vZW/ZabRB+pwkuEXdmTzftI/Ch15mbFhpaLKBtHuzm7ZSgpXSx7mDRaQRXQ2d3lZNMkOH
zGyQOyKrHPsmAmC4zqw5cCGxEqnWodta1rI2EVMuIivntsaC9kEc5u6j3aSj9vD6WyIVa6MdVQDi
SUIT+WUdQSbrQmOTchXInDU/zxQZR8rtec8ZPsvpa9NnRFRX+fxKTX1+PpjydHXVsIs6BnN3b5QV
/x6MCVlbfhDRG0LblGyzSmNAvHa8vB7cDwRnukJQkI1xk9Qi/z1NDiMydbV5TBkmvKbI0XwIIG03
c/6NYmiXsciG5eBlROhCnIAKObn9rf7a50NG92Qx0gAwVa3hM05LMkbphooLGGL4qR1/BMQPnHnx
V4+7INCdYwNFSglr/TENxuCBl0l+CRZM4zaNxwa62twubuxWhRuPDsbXjlG8TXu/2ACvNpd6Fzk3
bdKonynKU+KyWHQe8iAfvvquViw9UzKwTQlVn9jjSrugm4iLtiwyEH1TRWzGElZQbq2coGRjwyOD
BshhuLfrOX75WbPhtUBJVb61tsOeJoepMnsfRRy+WOX8fMchDtmEkZzttgRfccECYI/h2Gub6L9o
rTUIDM2akKdFIW2xt4bEInXGxw8lWTFuSkOUt6h4yEXu4EZCQcxi8z6oJo96Wo6/bK+wDqFskl3a
+cZL7njTgx+1g0cOdpJe1IC6f1n10N+1jjPuBYrruVVIAzHR7mWqSWRVtloRJ0s2ah74yXY0iIah
kMpB6JY9/w16ou4X47qM9OkXOSEZX0Cfq6NPSwwnT0rnZlFMofVEV1AdGxpb9ZKDNmPf4pi/LDgO
XTl9L+f0OAgIS8J4vQtcHlfSlcUv3GGQcSdfAkgbxno8lM3gX5E7d2sUONPWWNfA9RGNo4yLnMTA
+mayrXjf6cG26Yh3mzpIBoqg18u+xUCZaW14XXaS2QQcYZnA1rs1SjCEUW+QSBOoKdp2NCIvREYM
w33IRvahj3P5lRi+69jp6ls6nxGRYcq4DTn8+Vp6DVjgdmj8LzVn9LuEhLa1HsX6t8jsB4CF/t0U
me5jq0ZzW8HpnMnHZRXwfRD3u+vQwPLh9ztUdMWS/eI1PT8A54WIHbpssX7RV1MOBa1u9Bt6n9V6
MAmBoMdrLFSKgpadFVIq7Cx6qa/iMO6/h4R25aA7Wyfd6EXbgnar87xdakQyrzs6kUt/0Js7s8z8
pwRiEa2YxNK/tClZF4WuiX3nWozq3kq/Dyzvxz5v26vG1L/30q8vhZpG0HP9INwlacPNhQJXvOow
IX0d4Yge6UUZN5nhNr87e5DfR06L62cy3PLuJnFlGB0bOWW0zAAJiFp+M4F33bBhCUHXZeGCUnC4
6Br6mSRiYwJzSaUG+fZFSghjykSXTJuy+JU3/XBRT0kKr3w0b9Kk6Z5oyYerCBnkdSAC8I8tTbxF
VsZFvUCeI64ILswuaRaaxLq3unZjE6oGF7nt1zwuQh1tdzgIVZTfk7ax2Q6J+7AVOr04+QBUs1vH
NILnNNAnw4z2aZ+qCw0d5LeeyJ6Cb26UbLSUgSKbiCMV2dEXy6/ayxbcE2alhr0Z7axYN1pmzUoM
BOjEjc0dkuFsxsgx8CeabcPip12x7zS3ehJfFD2UB6jhjyEnb7Mqp1hIs7KXZd9kK+BV+coQHePA
hEgZg5VmpQhCdMZ27S4IgrSNDXoCIEWmKawbuvPutR/I5mslaVYR3NRV3E9Mp2sCWes1HSmtmbMQ
bXTv6rVxLKVGY9Ca887L0dnApi++JmnV0Ymk/NjAEUxWgzmj9oQ+aIu2cVE1jyqOr4uBfE46wuOd
LmV3HJWlP6KnZ4JyIzJBHa/bJYOCet0UwY3V6B1SlJaWYGPa4mgVU30bO+SY0hdVPS3RklC+uK+M
Q2un7Q1yI30lQ3dPPqJ/UWXReK+rPMTbVbQPcRt/SznjWDrI2ykocKncdyKAza8G9My1sg5wLRD/
6BFIwiD2CWAFkr9oZNrTXi/0gPMtr3XlBnStw5dQNNlSDE69sZOW1ZEuR7SovSLfit72H0TAjXdi
kF/DtPIQQdVhumY57Hd+qghuyANyNEPSmgYJAzdEj7iQaWyvpjFSR9SxtsUmdmyPg7QrgPbmYG34
M8OlVwyxv/SYb15STJ6//TwmniFznWkXB03+U3hevQtkQPtrLq0E/gbgs2O9QPlTVITdp+460Wqx
TomXpFPnt5c9B/2rEPXqcuwIN4Ajax4ziMlXE+nq1j3rW3bZlHCfu2URDMV12iTWUmVOddsWQ+Te
5vBAySDUArnoSLCHxtbbPzLD1KNN4JYlH5BOLUhOX/YlYpEFWj5clJlS67HNgmGZKh+YImXApUmM
AzMvTSLIcx1Q48lKqbHs4Cki6ex2CvuUBnkUb+qsHS/wkThXdQlOEcpjrRGL5bQHq8qb42DU49Yv
EzDATqPu4r441H19FP40rOrArL8UqlI/cYfp266p5cFAIbWVkf9AodZvPGK6Ok/aNylYH9J9uizL
NulQRPlBxVNvbACXT3ARbCnSZUWvhqx3051uW0sXPwbUpBHDx8w7Ws1FvrBA9pNoS/Jr1kqt+Dl2
BMJC8p6+aPEkSYkV9Lt++I24Ey2uRAJB/wqURZtqaftwoLkeW95tRfKsAMceH2kykUdrlfozKQPi
coDAvEh8xsI+60FrLsiSyNZ+lsbebUDunv4ISO42kP1CZmV4TRe63uB4W3Dwt3RE/zjFdoXmS/qR
dx2Zor5m9ds3BSvoZ1yNk5NcRNKE5SG8t2brqf1OER8FfTuaEXUtvRt731vsRJ0kNvFhe+olkMZn
Shrn7Tk1+A4Obw1cKkSEAzR6d06dx90IAwvLXVmQHdbElO6Kifk50xrw2eBof8Y5ApyrqPNbmOrS
teiqKmR/xSVBEDkzHx/2Gn+NLb8UsjOuCnq94iCRQTx0McdrHWR65oqpDCnbCle96JFu/T/2zmS3
bqTL1q9SuPNIsG+AujU4PP1R37jRhJBsmWSwDfbk09+PR5n4bTnLrizU5AI1SyMtUySDEXuvvRqf
ht5q53v8Z/DUIL603iddR5lZSfu5tPuhvW8IBGy2c6vrQxMQE2BaTzP9RLpEmNGwRaFtUutH9CIp
O8YDsGj1eQCV+sqSKb55c1/cQ2qnom9Vw99HZ1p91nKL0KyI3kgse6dGg6WLEBfzpmu2i/aQSdjC
zpr4i/W1VVZIT+pYZ2DXIIv9fO6Fc0f9jjn1I/tkeQd4KGJstgQ2Yh73noWYUiGHTqOVe3taaAJ2
IukNOj2jXfsOJ7p5A1j+DRvHGzQCbfN//89CtvgedjlfCGk4ZQAjGUz53sEuNR2cwhh1n8UZr7jy
mHW1heL98O3h3ktKB+1SOdKEEAn7O5LNz1dfiMOwX9DDLw5r7ykDYsKCZBpLBBiV8YBtvrdO1DJV
JgNhX46CqzqtSxMgoGRWv+PD6D/dOwYuC41vUXOj1Hl370hZRUigTolN9zKH7oeosy6JlzQewKhp
mzER4eZ7ayrJumG4vdLwY6TxKyI3Wya8+sP5XfwvvPkbeBNsa7Gb/M/hzcvkC5ri5x+Ynn/+0F9M
T4iZyPkAPzB2Xdic/4I3fe0PbObYGojrgjb+Q/ap9weaW1i+DvoBttlFe/sX01P/g9AQzYRuDGUF
nrf9T+DN9wp2osAw1mRDdWhYYOa8Z0urUTAzzBpKwMri7Az6KE/Gfb3wIMNYKyhDy3jCUlqmuhge
kxHfkbFCJFOvGp/Qb5JbCkMndh5VPmk/8Cqx/MHKhkolWjgm+Gsv3ARVwLf5DbHy3fEDq4dfGP9D
hIuQK+Hev9sgmm7IkNDUJ6zrxjs9Zj5jD9K/mHpXu8IAHHDuu1f7NzuS6fGuvt+TztwlGr0FefYc
3uY7KFgkGfkXXRmdHMe/KFsXnkvWI5wmLNyKlEZglVB7vWb39hFlK+b0Vu9ae9/p+nBrR0uKYugm
CwzV45lE3R4usEwLrktxA3ZQFnBesXLQHwg1hO9iLRAvDr6cO6DswEh6GrLzqFrl1Gf4FJKuOhQ8
a+H0sExm5a1Bm+xnIkMAhqRa6BGMs/oI0DmU+ZrBDfsnKSEgVA5vRAV523TdFnXVxOA/MR5q3WQR
DCZbbm3mAADo3DGSWlglNfghCR0RXf8GNQ9J6vrym2uxxdhfxZHxoOvkV60St+HeMOJWn0VMDE8E
SSgh+yjxRlhWBnBlPwAaOqWh4uvxjGX6EwfkNOvx+FirxTl9pQTsGEPGeoOAAEH8FbJbV2wdd3Kq
T4bZwfo505DdqAHbEwYmyHdzXRjQbzJjGVPpo3gyjZYn95a0SKTqSIblcowEPeZ9QKqO4GFkFeNZ
GqGU347YGk7fcV5G4gIj5/gm7HUAsZKwDjInB3OB/tLCfj7jf93kUDZ0NT/uDzqe+wpXEYSO/NNa
o3hIyWTxFhyrbZtP8UBE5N6aNU6xNxzWTkweSyIy+C6j3YLVTYTez0G/GBueEDqBoM7LK3GXh+Nj
sc77W5hPvuJwWidZK4jPxtnsMo5IixCeFhO6xVR0j/QEI3lFQhWOKvXER5j5Or8l9IbBXZe9kQFP
udE6s5UOujOM04PDNPuKiFlyyHJJZgZ5O135HMnWvpymyPkAoUe/GvoquyEIJXo2BivZl4JU+yAx
Cve5iNKealaT41afWbLxoDFwHHrw0VgC9wY5QVvT0RgdGAvYIjO/Ruvc3sKhW6hFvcuy6WuXxzsk
uVNfay3TZIgskShQenXK1KEaWV48m2vJijS+DDmTY0aWlTV8m+RENcZ/5vIbUloIfUuNJR3UJkEZ
MQ5pjALU/QzRA+jwerJU0DWLcODdpgMsms25guDJ8HG5pHjNu7QqFxgaiKT5tPAs7vB650MQpN6O
+wSyurNLKU5OEF84icMR+mfUS6BWGRrjDRxEte+Yfo7U9R2PHqCTqzj47814wjSMHsZR8lzgAAJW
d8S8nEj+NeqHdJ6F+CA6d1YXrVGL+mYaoYdts8lk+yVedvIfE0vL07uwh7A15gwNgrA3zcPco9dZ
zVPOs6wJvCEgWlumKW90zkrL6z1ZoBTBFrsKaRqKoc0bkJ2OghdHGhHfsdMvH0VbW/wrbwOOwirh
RHawcwNP92Ln05h5nXEtQ5+NwgP/L7+4Jpzn2FmGQijBuKZII9gebhjV8qnW6yFiqNPBJzRDr00/
1uwQOuF1IQjydZkXheOtxkiE/sbNCMjZvI1UcNySx0bB10MuXetXEiLD+NHrQpW+2m5hGGplTSoi
vUbrDeM65/yZ1croiMM4hIXhERpVlhDED7FhzjUkx4VpI3AneErGGZuCJPKuCkREn+yeCT3JOvcu
NhdDQFPdPU4LpYfIqHhNadkE5kL4MRfqj3lmAeULIYi+CG5Q7Ob2ngQ1Z3EFkEokH6MY/HlrVbZT
EC9cTWHBJlMeqsrTPjR2ZQRmrj0xsYC0VWAAmS4kpiQeRm9PDEX0kjWh+zpG2E8Xel1cY7t+0Q21
mjZpVo+3GBlHT7bZF5ucQ2qNDMW881RYPOlWnIPTaFGIP1aO5Xjr1jd+RPaPW6WE0pCdl10mVZQ9
GrKB1aI17XYWLS7BPVy2grAc4kOG6rrP5vzCtrDi7AY3u2Vbr56k38X3vZXdDK42yl2tCEVQE971
2plKlpTJPXOD7BEvmyba1gvrDLcufZ2laj5mwk+3nmklqx5jQIZirsu215vlA4dO9amwgT/Xcm6K
rZdo5cfYcZZHi3c9fPOF8MYIZryqnBHSaNLnRLe4zbekdut11lnW3lisjkgLNK7IkXGtdazZBcy0
iXJg3dRGf1JNXu68TE3wE+B6HZaAm21k67cyLKudhkptjRd/9UmmdTVwSvXOAe6b3m+mHM6daq3w
3q9iZyeaOSUYARErzpqzh0TOca5E3KoTG/a0Rxs+HQah++g802EzNdAZgLi6QHWT3MdF4zz0ST9/
1bRMnnzPn0/1mYn46wrlnfBxITozql5EGIxxMWd61zeoMickOasI/mqreg88gBHOYHIIWaJGg6n1
5SnkK9//+qrvWsLzVW0G9AyUF+nDT/YOcE7ceLD945lPm2DlooKqNagxfn2dd+3/+Tr4QTG2ptpj
WPWu+urjEq6JTyKxlS4VhrtM18pl/mmf2W///GKupuk8TtRW/vs+F0i9ERFF4NHLBn9TlkyWGwwE
gzOE8OtL/VzIevih89zQLCIdfd9rqsh3K0LZSKNYJA7QohLGBn4WkCsBz3kRMP/j6+n0ITrLRHPw
YH1HLQcd4LPNcvs4L+OotyMIqiInBhMuqpEmwWP7N7Xzu36ad8fNLVp3sgN4ee+L9SmPrBY82jrC
eaC6cs+jWjZUTuBiJPpwtaQdQ3LMe/5bE5Lj49c3/fMi9WzAIfT2oJ0GPI4fu4WysJQ2Zqlz7Lpk
cfYW5mFcAsn/G1dBdurjnQcpV3v3AWahMRRh0jhHmIBAMzBjdq73W5n3390LDaW3qAPwQH3/mTut
aShbcC++ary1wxgqwK7vv7FM7GVmgC6El4dU48cnlir0UiRt2UdjUU0gDmZR9NNAiMWZhNpWIyPv
Xz++n/cv9nT2MG4L6SGX/fGS8GzDacgc6yjK0Pmkw6Y5ztrCAegwE9kU3gS/wmlmlsivr/vzzgLU
4uM1xN2iX3t/q74xJNpcEbyWdgCEYck+2Tq9t54lPIpfX+pvbpHFgSyZGhwF4vvN0sVXnkvlxnGs
Y6gcC4niPN3PLBZMunRw47Jqfn3Rv7s/kCyQNM3+G3vZXksKMyas+3iWdhS5ZR4yzYt3NDq//dLP
tmDfAXd86gDDro0Fleu7S8jEjy+xjL3a09hPjnPd+B4DpNweVmjZsruqn+urUjLqX4UTZfI4UNcN
1FrNFXOKMdwim7NoLkr7mSi45is0YIgR3lxk8Y2XOtXvnAx/3ngXRBk/EXYkKDvGuwMFYuqQTCJk
hecmF0rCpPosR8F5ifyNpfZfUHWdlazvnw4mrguoSB6l994uNsrAS0LOONgxSJ82o2cuFCFifb56
tc6RGVfhst5lgtqiQ9HS94Qqrs+6N4jz6CkU6UVqS5WU7NpJR47x66Xyd8+EnfKcG8C7M969PU0x
Euk9vvqzNENqtnzSI2EiQ4LCsBqU9jsY56e16RATz9cAlMMSBfX8cbmopFmKfhLueisE1kV3BE9i
UVtxstON//ru/u5i4EbYOWNuy3Hw7mLezAw8UgRkjvij3ciC2EmNaRVDIa2iXfz1xX7aprkzcHJI
itC62M4WNOk7r6U8FXrVhNpEvulClXnjhPEh0iX++kLvDXQND/dZZykebG4OB713C5lJXjI6lTtQ
QSCYuNHo4eAAeE2LxRZsnuZUyR4k5MxdQ4+ck2VTuWYNEX05Bks13sFLBycQA80SE5MZNR5DnT3c
aqAsUC9zq2FETXvOoG7enWOXW4gNZf5PN+KzTStGeZxrWGq+L4US8iQrN2+aozFP3vrMf8uHONlF
UKo3v35oPy10LsUagF0KYEvGwrul0Eaa0fZjXB/rReTmGSh9SFpV/gamCQIusoB/hx++q4EsjjUI
qYsvhYfK/ae3VMy5qavato6OGq1XWK39sbYg450BEcclvWWt5sx+LMfR+M0BYLxfIogCENcyeeLK
BgrIs7Hfd4vRysI2sbCsO+o6SNK81qTnYMo3ERxjGgEGS94L89zUWiPL0OGDLaMlwjGjZG+0C0H1
TLvUuhwUcU4XvEYRF0Fj0dX89+yyjmoGZnKHYWNy47aTKPiXSELf+6RbSoBLaOG3tmzmD/WyvDLB
YbCb2pqo1b4mIBu6aoPLwDBCJ2vCFNwvPfMEE9XDr/MinOkubdTb9VrT0/x2AG2ANNSK3UgO9w0m
32LeEcaIQqdvi3mlucrQSC6UGhmErt2RTM9496JNLVcPoO0QiVBilUMDPSdHQvP0wOozm5z0To8V
0WudIqIF7FuDzPZszrIo+WbOTMyu0jP9K/yYFFBcSL4XH7kQYChkqPimn6C64t6mUG05JRDlbhnd
x3sMiOmKCjXzf88cxHPx2achyIufLXWNqvjWUBzY0zfQ8mQIUp0kIWR79ehDovFQqlYk3cY3eAFm
pCFGqm9vGxNS/dqoiMrYlHpepXclYiJ9XXetrrZY4iHi0wzvInKcMr1zK735Sno0EBiMH3t+NZ2C
wVKt9AWKOrP8Ri3hB7l1+xnqEqBkheAd1hIGAhc9T7MH0ejA5pK0hRjpVBOXBwcBuUL2CRAON8wx
YR4hqQ06Jw71l3kwi4MaJaKbkQzwOVALOXTta4UFhBNnZmNcF0Nvt3d6QoLoOmW5xDf0q8Tt6pM7
VIEQiXXoe6h/6bprexHM1aLLdYzFBHKOWEEF/E80re6QuBdWH+rDIYazFnKu6n1y9SZZ8ghDgNZ6
lgkiagBljDq4Gg96YcO49BKbBYZLEBRUkdScDec6AMye1TdHTERxtSnBzXTHNacTWoORiCOyT8dv
fjuHN8xwx5s3CM7OOn4ZM2YKZy2C0iSM43DTdM1Q7d8+K8dgbyFpGlKpa0rvuWB+T/KqjX5TJwU1
2YP2gs0brcU2Xjs2q0h5Dp0Zk1Ceq4EohCmobLqXKSmHfjsm4PBvoxmyXZ6ZNi+FRGRR23mlaz3n
ulyQ2Bp4flUxOd6P5KxD212OP9fpABljsCuIeGS/M6LWklFuiebVmlPuQ3Hc5ZVg0gDzlAdrhb1l
bqVvRMltcx7H6lDH622VGQ1Jj5B9n+AbmqhuM9dO0zuvxJ760h4z/cGRsrCCjpjm6dUTTDI20lOG
dTvpFShwPFEbE9eiD1BuVjZjABQiMXAFa8VimpPyBbem+5HCPIW7bNdtWcHgTPoKimIYzjnYvMhs
eYQDClo/ZYCSWxC0GeabJa3wmGsaearkLcPfAyCbu14Obyf+/85JfzsnBfn57vj9yRLnMimK16Zs
f9CBGIRd8FN/DUpRdHhQdYEt6cQoYjiw/9SB+O4fGFcDVnjnWeh5hvqXJY7/B144qIfhgyytm8uh
+9eg1MQSx8eLna5uEY/8w0EpyjPqte9Kd/KraIIx36dhWIwIzy4W3x2hZpz6OTag2qnQRBmrDt6l
I9ajXoQEQSGI3KSWCXF2Mvuq3o4LwXjjVK35Oo6IQGHFJgVzpqm5HCcYUOVKmXL+OM6ZZX3Qfaqr
NZq0l8gzokeo026QRI79sbes9pKY1PYGlZ4It0kpsZVGQO1eRgP/M4D26lc7IWMiG1pZnFw5zvt8
tG+zujVfxGCF04lp1OgBsBjtRS99q3g007BzLxpi3LWgy5yhy1dWbnZf5Xl4azQjs7FSW/kS97ip
Ifwkbaa1WWtmELtm9xl6wsCsqetzcZmaib3UAjjlblPe7T1Gc7kTmEZRppidhcmjHsNVi5h/QcFP
JPCq5aBxx+pP3TtWZxwaSLU7Y5RfM+ryTeImSdBoKoFMDKy/wxDkYUrN9MaRTDD3/BXzcnKh/a3b
0Uz2bWHi01tjKrJpdfE8pta48jSZDwdOCw6Kwjc3EMQgpfUeIb4AlcreQM1p7nQtsy97n3mU3nYL
P9n30e23sx9+mHPPva9cO3yo28nwDnXYmmItm8rOTlmzSFrJ1Zaf+qGOMTA23CBFxcQzqCAdEjR7
dPwyO7UVWjjoL4QrUtmEzIanaTi1XRt5gYiqeOMmUMxUEVmJtgvxMthDpEW1V4MWGe2AV90wF2vA
oz4mrFXJrTeF4d4qc+NTNZtTjnJBzA8++lMYjdHgJntLaF6GHgsL68cI42uowx1n7Cg2ZLf6TbNj
NjJpzSGO8CrALSCzE/05ambU4SneYSsbQ9xN3liBoSrrarZD2LJaSLi5X+gHsGtilUNnA0M7Q99d
DhJROzxuq1R5EDt+i9Fc28DjJ/WKCGLbGDYZkcRkTnmEdQj3IR3tNfzvQ9TVl/YSGz+jh3WT8spS
MyJhm3TzMQ+PblpsCyrTRyHi2xFH4VXNZbbRPLarvJ8+69owbxkhhNuwn+5B05sDOvJ4MzsKgnsu
tENlW+m2DZVx9DGjW6WUs5tG4AkLoSo5WkBJW7i2yUlk03zQFJ+m4WSw6MmzL1rPCpQOmRiuLJIQ
cn63Jazv9oiXrjxQlb3glJId68SKTorJxHqecwLTqmnH+CxorKrbooXh+Qi1TnJRBJESvlhVqJED
woVf7Vl9ckemrj7Th5WjtBnJQw2JHtv8Ye13U3RB5DFMngSXYUV8Q5uIZqWXiY7myw4DC8OOG357
eZKwhxFbAvQfIHh0rxDMp7VHivjW5WPbq2rhfXJAFtHc7kulDsVg3yszu0u95GLWQ+rSTgukMT8k
DtHhWuMf3Wi4a/zkQKNirD1t2kSSpx8RPOb11mOj8AKYxktJjvHKt7txW1dZu+nDGRPB0PrgmIzt
yZBu1nqevWaWVq+MYnDWwD3dfSLwiSVJPvBbp1kpxsrjlHiXVpXXK5kv+k5i6WCEUw1oHTEqsIoL
hqP9wNqqsK3kfTg76p4mELHf7b06+zK7GCdQ5PtHh+3y2NVMzAgPk1ewZuW+A1dZ81Xot1GsbnuI
y8LjpuayuBo9Sz5ny26WdqGLrZFsxKmqDOsuMZRzRFAfB7wwShp4+p9dFX/SBOoiaAXfYniU+8ht
aFFwwljhg4UrOYPLYzcl5qZhW79FwQEtbXb8Qyrdu9CpbxmDa1u2Ce9USjG4EG2d9iP7Src2ejeE
VWq28koaXR+oNm13Gi9qq5WqY6Jlx3fmOPqIqzXYDaJdWzL/3ESGETCSu57GfEuEdIyADZbtXDR3
DZGxPKEYGZMmt9JMTX690nqOreQqNWNOB0XiW6oTECbbBxRDztZArXE/pMNlJVQdICiXj9BaHu3I
Rzsm+udm9j85kXEwOhupv95VeKNnKBGMYdsM9aF05M43ZMhTVNaVoUdqN3j1l4Jc841dz81ea42H
ingkFnDKJCOPs/5kq0G7inXzrkPtkzXxByc15hXS+o0GUXrFTrtxhP9k+bAp0VcF6bKXVsK78Rpz
1yRyvBt5dfmq6slBYBv1ntIw0j9lRKSua9PlUxMWHavbX7pTv+lVeqQ7brd2rww0l9JDxVUljM39
Mg7SKfN26ILnQ1y2ezidxz4J012baUkQ+aJiVCm2HGZZMIe+u8JKzKcttDrrC/TElg2bsKmradas
2zi3BJ1wrS6zDkMzNPTlBopo/FKNjhUMRoc8HGpzMWSPutXvi7C89PuZg1X6/saAq9+Dg6rEzb8g
7d/73vRJuikqDu4H4kCZBpi+JqcevxfIJvrWikMi/SLbnq9GG2tflP2qWnd0YSc7saPtJMxp1XSR
+Tksu+oO9CgtVoLhbAWZmJ2pz83iJhJ9k8JviZ2g5VyrEhy7p9KWa4Ihqm3RVd2FERUhLA+D5qXT
klVoisdYDMvxPETrEiGC8OyrQcOuHLJGca1FVU+OIHYsUYJLkuzuCim8g9+k83HszUdrhFSNQEBE
+zCHG4EodjBRQ2Y6CQyWVU79nnPW2KDc+pKL/kaPkbW31tDeNXZxMxRC0EASJT/F3XWKq2dTm/WW
sPLyqGbno9fgaTwm6dEQkF8ALvu1Ab/6ie3VQqQ1hc9y1usNPKgacZUwNmgc4p2TodD1PPi6OWr/
IGn6z36EsXeheeIygq0E+b8dsCBovG8OoTTrjjH+yo7N7Ln03OneHfAgSDvvs5naVZB7ufvBdedk
LUJHCww3lg9FVGjwKQBPfRenVdMcsX6wlo+IFyZX5mimW8X8m++aXy+ig9nk8mtVpy8Y+MH29ov+
o9n0G41J/FWmpfZ6wksZrkql59idENRBU1xbq0qrs1Mzz+Vedp1FjVBEl2jz9ljppIFAGrNhwFHe
QY5Q2IV4cXcrlOntZ9dRH8Xs74mGHh96JC1b3U/8JPDnNLko2varSr0v7M7ZVkFZXNPDdY+J1E9O
Yfq7yq8nVF0i2aBS5YCguUbeYfZBbBvAL6KUBkwLDCfI4lIXUm/Q6bXNdJFbg79H6zGu3Vh9ySLi
7jq8APWbCqXLPRtkA2GsMzMPqi26rJ1VRPAqcivl8GpE8VkxujxFDnqVjFrwgzbU5hSUXuZBarAm
8z6PTf0FQMV5QTIZI/9t8eEIY7USwOYbcK90axA1BtfJozzO+6PbzWKVdNq6MI3rkEbF5LstMHA4
xpgG5VQeQYw2NIpxn9bBJU81HIktQsvoHsUEWNYlhVaQF/2H2p8PjjF8ZYwF378iECBnXrbpsOaF
nFIaq3m0/RWH5I63drSlhf0Nnew6KxEfjFb31LdWGxgEOGLGgGOMnZXhqsa+BCeLch9bRbWaQtTY
8NyyvQnRYIW3U38stGET1uaVjKUJTcipd1nleMjQc2iELfOm1PWhmcXbrFf1XR331k7TX7CjoWCC
D0GyavgI6pSvMoWARFjmGp4xQR52vfKIXGZ4OxUbV2GvXbDuctTASEYNfRHgVkFi9Wv4RYrtJLGR
4TooN1WPBjeNnwafuE0KfMSDPOLcrx7Hsig3+HPCDEry0+Ak05o4J0h0I6Uh3DYrI5S84kzMykNZ
Wnc+5JKdE5lfsqJ7hFVjX8Pdv21z+hSjtaftCA8yqKt2XVlTjLjari9FPfbbehbGB4ZucOuxnXkc
cSAJwDI56iaSsKVeixUSk0DGDFRXhixB1vL5MVcVjCh4WkGCV8bXtNbX+ujOtzPkzc2YYQCokQri
jF746OrZhYqRytcWrh+dKr5R/OJsEzcbXc5lEIvU4JX2UB2bGDfuLn9Ex5OsM4RZW2UV/sYiwoCi
28McRMjsMo3YXKYhzbe+ZqsrxwtftKYmXIJw2F08pOOtmqBC+o2jB5hvU/XolX+tVfKqGKfuytDK
IC8V7lAN+vzY0qYrQ/pHoXsakVOlGbh9zwDed4cLpr5fS/qNTBefDW9+jipn5+pNd0GbO/EwEKNn
8yH00n4DK22Xxd+Epwg1g/9/oTey2qu0vkErfyrGmO0xVh6GS4m2rSraW8h05s5s+52BVh+0Sp7w
HuQAldpRS71H241xxE7m59HtvoRd9FKWKeunNG+79tItw8eyn9sV7VT0JIRB9KCVHdpknoPIdC9m
3/vkVeW69v1yl3I4rozIq67C0JArUWj6hWVVt8h+p0Cg4gvaDu+TVepF2lUalgPlmbjpHNV7yDHG
mSNBhtwuJ4GCelDFuP94zaFmBT9NdfxqppjcmeEwrWLTaGp0QhnyMlRrn7NSksuSJHpO9phB6MFY
mhkFHmaKWCbUxe0ArXLfixEzNumkO5mIqA4qo9bioExRrxgD1jIj4CdNTqUeh87LADrj/kBVnR58
Ny52ll9Y22qao9Ogdc4Wnv/DVM8wqkv/2vc6eYOuVf9mJ013muME/zXTq9ERTumxK8Npa6NqerCK
Cdf82nimh5eXaWHR4Efa9TxHfdA3ZXRhgtgFHQz2SyBja6PmcdyZ5QhlqKdb6l1LbFumGphRINw1
C+zDCtPCVADkLVfM67B0idZgGwInMwLFLXIjnUqaGyPOwmsHmjBe3NOLlwPD54b77EYZT4yi9rLo
iJyo5XQgjAfa4tBfQb+jrGhiiKip/+RrGtI6z4X3mWMWJiq7oAyq5/WQ8s83/gCcSJOF/RXLNR+2
liFJURmNgBmK3Mallh2oGw9uXsDUzvJ+u3h5b9jNJ169XWwy3GAlGTs0U95dJwWmPG4G4mKO8nOP
cRuVtKWllxzVnEKImaurqfFPRA14q4ogpLURuvaK7NtAAHljGmSokzs12spBG7NH/K0HNaKyFUxC
DVME1R6b0vym5u6SOMsaB434kzEnVzq7+2acI5R4Na+xTNHV+6mx0bNsQGAicH4qk3adwuc+DZa8
SQzIjWmZX0aO+6H0/GZHfa0I52D543mxLXRtRwp2v85am16GmJ9tlzJREBA3IT62r3NZwSRsLyfw
e5yLQhDuRbKu6LMMswhygVnS0CKpCjPgGrMJ4BazK9tauMfSHz54WmFzNE5HvCLCoFuyBbSuZY8k
kwlxa//Su/IlcW2S7dQNTprjIUESvaaFPLFFf8Anv9ha3bih1WIlg/IHbd/gb4rP3hVxu8bOGwdg
lJlDF8wX1rZ+N0lx8GS3mXtMJJXSC0ydEE99VJYANhmGwduinn1g77wzpmjijvp2kzoDnZc3BFFN
O9gKDb/0atWBCKz1MBmOMW40K9sqXoq29G9lJHiRnr1DWxivYRzOjzAqbtzZb4mQQFJpNtq2bWx3
ZdW1xOO/tMUaB7BpRYMjH/IwfvV0ddXMqC095xnDAVDx51bPd13rfav7qaLNTdDO67MMmtxfK1kE
OjZ561n136qWeKxMpE+xEvFGLdB/g99uamBWl83e4lwp/WhdFGABsT5TtsiQVAt5U8ds0EHT1c4Y
VJrlXuPiYRwFNT3WJhGpqUNPU94rVMtNx0kO4T2H/1mpTdGMRb2OW5e5voOyVD/Vmh04SCMpxNKs
24LiwMDJOnuVzrqrOKEn1V0wUa53VmNk/gqJRH1IMsUAhF2tXTE7rO2c0hgj0dVIRd4+CNw2Ghz+
YHtua5EONeYVMVCbQ4+A+aQyumQrLV9XxqrgGdlhBebQiUm76JDAvDSY16TtBZYIDYjF27j5fxqv
372WV8/5a/Pvyz/8heKCfS5u/+PHPzZvf45eywX9/uEPm7P10W33Wk93rw0mZf/x72+mxMvf/K/+
zz8NlH6HxIMq/xKJv3od/u3ydUy+lN9bMmERsvzYn1A8hIU/oFcyJPYXpsT3UDxGS3+QMOdoQPdv
eqZ/WTK5/BAAvu9BLYSHasFC+MuSSf8D51cSmrDHdkHOIXb99Qj+1N3w9P5Tn2b7HbEC03YujyEU
OhwdLdR7s20lrYw5aiEvahbP9EzIPUEWBfaI1kaLAf38lTnUg5wIlSubXBxKI6YeDHxo43tm0toO
Acz0tTajju9dq+xglFM/n8bCcV9xlXHXCQSuelaE7UZAkfR22TBZ9wJqjIeavu/ohpuvmVvUjPEm
sFZ7A29fxlRhiWjdW8w1e8D/ymlBBu/NAgA5cBYY6DNDqSyZkG6LZbLH+VTkx8QTQzB6rlgZfU4A
ckp9YqdjfOH0haq8+9jAxw64VYNhyZnAjgidXRYIwR+w8XP0jSfxFEAWrLDI7XZF1XsGloJazqQi
YdjPnqmpL7Fo6q2rqunGNrIC5cg0SH6U1NH5iXAIN7k8z3f+pz8tBHR12ZTf2h8/pvNq+NeX9v/T
B8gZ98sP8DJp+Crq5IfP7+2H/jUJwz7MR9W0yAWhMP01BrP/cEm0edP8/WWEZml/OIAxzjKYghTN
ofKvr85ZvmIDHzQSUhFq/7NMCPLh38+/YM4uDELaYVjR5DT8yGeqdQdRuoqQJdkabV6WRU7friwU
L5yAjtV/1vDLREWEj0BCgv3VMrJaKQ81TlD4ndzobqLdS7yhpk1tjOl1jKtDunIEMgnfrXejn5jH
tsDnMu+TSq1tD3Lcqgx9iyoM9dd2iu34hD1UeaFFzOpWpZFdVHGd3ril6e3wc4h3oRu6OyvNaJ6j
XITrBr+x3ZzE9YHZnHPZNUutMzcxvswd5JMVrhvGacrwbEk69OOBmxsyGBGuBGbc9TuJfzRulGV4
R86cNaDWGsZDp72k6Vw+A855l3NqYmfNkKOljYPbMTCQ26ao/K8HjNxghTg++XdxWGoH0Cdrn9aG
+DKUtfrmVol/bcrCO5RhXr9GoxGqIM4r/SaJq27XmmZ9Z2HTdpSpq0EDwWU7D0xpvEqtBCeyF2fs
rDJBMxBoXUVaEZ2aahZfCieqMW2pSogMuJYfpuT/sXdeS45baZd9lXkBKM7Bgb0l6JlMX2nqBpHK
qoIHDrx5+lko/epRV8+op+/7ohXRITFJgjCf2Xvt+m3wp/oxHVfTUuwNX2LddU++3000+sbS/L66
wd54Nmc+exg6P8eBUcVA2UeI6JVIRRH8bExImqRv+plL/yybjxqlSx+Y1vgKvZzari/z3/Ok647+
knR7STTo5yL6/AZ08p2xRPY5azq89uGyXHQI8KO03XbvTt5KA6b7Bwo392bDjxplb8yeGGtzlHr+
GuCEvdmq/IIlO4RsWjh80cmn1JVhfyMT2zimtogPADlWmp4Vv2ZdEhM1WmpFIz3B0SGkOpWM41D5
MblWGfYfTkAWRxbUFstfWlKkhco2s8SnGS/IJPKIVVkwtmW8zUFHoTfwp/FHkpo9Ddy0SiHLHDmJ
TuPyPsHVtrFoym+iplq2NtBLIFJecdWdkd6YLIJhuxYj02Gm21SLdqWjl9BdTGDsfWT9DpDJ0htK
arrvnHlEhVlrjQxDeULrRTfklfIWT4//EIVzHIyesdNxwXhtHrZOY98muT98lq7KTqJhiDumrM62
Q9vPTMzi6bIs7FxQbHQlpKg0fDMKJ4K+X5t1uvNLV35jGt/28GrG/nFYRlqRYc7ke+fnIa1VWfcA
YMv6a4NIKfD1KD8yRq40jnM3P7Z4hLyjRYsM7cTzCUM25xZqGNTzTdjFcbLpAZa/qEHElxqn6O+0
3aRwSgQdUeA2S06IeOl9TV3hXjN7msUJsZP/vLArYILOypfNNBsDqKxRW+09GGEfSHL8Lyzgfjeg
vW4d3air7J35u60bFs2tlFUJWjAs39KIQh/efEp9y2S6ee9cBi0whVJ98sKq2zJeZvPdQZ26ic2J
yVHXPCDB9SEFJlzP1MIwvrzGgtaql4DGFdLAsEbVW1C0LfZQu4XE7zPMCPdsi5ZnqopZLjTsl6Cg
9dzWGEi6geGTtz3kVvJoDoZ9qBKRTVvD70KoX24j3k2CDdlJc0cdTKHnABRgkh6gpuanaFb1LSNp
dGkkTHWPjZdYHFi3SF/heYFNrSX7Ju5oYX8Ko4nlD7WE/jq4M/YfCwHosRYYZlC3zu2dBUXys7Jd
Vm6tTId7AFsGN5cl9jew3mC9ENkw7A0vrr864zx+B/U+vs9WKa+qTULgC2MLkk3ZcxMGfqjqu3j2
w2zrmRrcczwSzWsaoxlIoZ+irNVbEnVH1i0N2D+MYFundM+WnrvtQIzmgx+3+XaIkvCUZtw2K2nV
h0kUz1Fp94e2GYECoxlmgtjg9cJPCF/eh/G1w8SxfFvw+hW7QTo10ZR9wdYoHnDyCi+9m4TMh/5i
5bVDkLPVjDp5XYyIKcPsWmUm3rwZ+JTJuFTJrnvr0WOkd+EUUnwRCnQnU7yWi8ybR6fIxSN47uie
2+KEiyNbTiCIX+gWy8ca3e9jL9sQEnaSrihAB6wYmjXGtW5JX4kW8MUrnbUfH7msvETD8u5B7VAe
1/s2KuygSzILmSUrTSZdLCLYcnPb5pEXTMWc3Pam37MScOuUtrMoblNf8HGdjCjaFhAKCHpDc6lD
hNnIpnVusPI6dyzJzattlyGzlKULnyyvcU5pko3PdFQeajsiY76rxZjvSoPi99AZdYVIcg5v/Urr
J/a+LtyTXHyyHltO49zYcCDrfj+F9fI1g+BNan1tLMdI5jNN28xgE/XEru7CHrekzf2oT+RyITTO
PcUJGffFmN7XeY/9sjbVXUhEkMVNNgsfxyVcd4cmq80qqmDQWy7XWl/dRzhsD+vxfG6qSd746dIc
uV24h7RujLssGwbGSuaIwMUHdRx2GJGTiRnJpqknoAS26ObzzG74gdCK8QAk0D8Nsm9fmrAq7gdp
D0euJ2dGmlE1jIldtnntGGHGJNtKbJHQxMyUlF8/jEoUCBlS5Qd4f+UuthNxTOvcumPeExIv4E+n
lgcjkjri1krf+xRV4n/KVpnVBpRR/ZYwWP8qxjA7tZWhDyi/DY91IrcaTr+Yh7SVKztQQrj7ZEgz
IKbV+FW77rjNyBEGi554d+YMo6+L15smljACJBagqcuuaUyzeipn/w3/NR7YIYaGgtex7mUgSrDm
rPdG/z2Bg/aEDLqt752mTdoj3VvNktJxMhujN+zVG9NhqsoKR5YColcXJ3pVzXDkK3OZn5o62k5w
eee9ih13r33HDWIMu2GQRuPDIk2UCF1D8NOx74z4zdbKTj5MGheCCsyMkINmRF9CA+Wsw4CrlNM0
oDaIskT0Z05Zs2E3O5T0Yx91uLxT+06viCfKz3SYzBcfZc6zrCN9xsz+XJfuvCtUXZwIl9CB2w+I
Vqvp0cmXd26AP6wk/kg7593tx/53Gj8qCKtBLdXa/btLcPnRcb38vpb5brQK44YfB/Bqo7NTiTT3
h1psoGWdrtdwEHZieFT7JD821dw9KHuE5s9CjQGxblgNPntO3xBeYS4P8UK9wxZ4tAtj898W6uck
5N/PMFZMyf+burLOMM7fm/b7/E9NFP4tXvY/TZSrfvOF6aw5Q0SB/lT//dlHQZzmmY73htZobZjo
sP5UEzKn4J6OGsAGSvnPIwzvN0A8OEL5N0wfBLanX0YWfzfCYCzyz80UHikbfwP0F5jXLl6wX+wH
Zg1TQjGOO/qDAX2tbFS3mxHdZxd4HfZlEk09PEV2G54r8ID9aYCi9BBrYygOpMVh64a2xyYZTSJM
jrBXSD4aYA6aVKAIOU7ywLZaMBcu8U37dRos3CRvo0zGaksjEj5PZmm/OeXwkVOdQnArnoc6tJ+6
rFoe2sZ/pkZlZF7qzNpUTh4Cm5UopaD1Ltd+tIja9lJPIjiBjNrpTrz5cJBhKhiJ+ViWY3ZuG+av
VeERraB54ei4xg4Bw3RbTBXTV0PC1FzI5y1YspFi1rDHI5FhGjdDsTSkQaSUKQTH6w81sMlfxtYP
FqtNmRFyoH765NYMV35/oqqMllePcmhOdtYs3oGprl8FadGfFob0AZpFXtjaI62GWa4jb6fwC/91
SBdCJMrcE29u0S1XRw9+YANTPhZUGUfqneY0GD3vLr1xhPjPBLNNOh9IBWXHBmBYw54zSUzuGK0i
VDb1+lWMHxnvfa/sJ9rbgiVhr+RN47W+OIy2zF/mLGeTMgDAe2uKFdCSTYK/lhfxdOfp3PixkLQa
TKoOz1k8xd+MvMX/Tk9++Pn52vVTcWY36GT458lkxl9uyoKsVteh9tiLpi8P1DUDq3C9oBjlIFO4
dTv4MSTtul1iQhWjZCZkqSOo5QY1ehzDhoDkfHTaDpxjTFhPclCLYvSchixsS6PKzotVnYbG6sBD
pEO/75IIKSKaQ2cv9eyxyc6shcdAwbmAlOKc9m275d0REbStnVDrog4FcJK/NDBanmLK9bdax+0N
MD3/OcV0tme/1jhbfKfqTBkYXcKaZg5QMDJvCDEXQ/Nje07KeoRig1RBxCJButjGzl5MEmpx/1qb
zK6RaqBHdFZZFE+GcgQdaLX+IQep/WN00GcFYVMUFZQBDNBbslYS8stT0cW3WV7xt/w+13sHGDXV
rKUGfmHgJJWb7gjDaB/Dwp+vyTJmgYKHs106EV4LB2gS6KTRO8jOl3sSMtRL3nvZofDwEfD4WwUE
E6G83iGTon3qKuvN7nI2rfD8yPqa0xXVOMabFAkCJAZYDUUULl3QSsfZJ96C9M81ddCLrDxHIemg
PJ68hhVeXt1DZS0eWkM5+3Gei3s7scBnRkxBWUcRscSMfhV4dDsyZZdzbNVZvsnMEbx4bqsvE6Ol
jV3MiCZAC3Gh0tVvLPz1QWnix8UWEmb7EqfUzqw6lvIiTJegH1sDWYMiPUP5FN2eyi6lMdr3nR0h
3YkHIqaE24p+QzUZApA0fOsmx9XQb8dJuG8DLfYVpG70OTdpSnIAZJ6Zn37RfrYt8TGNbOYrhDFz
ikUlELzmYwGoRGpW2iCOiqqifqrZYaQMXGS86+MB0amRlcuXyZ7Fbknr+HZQusE+rCtgM/Z8MGsm
0zs1GxVS1UgLY0fulYSilnfs8SA0oDUp2VSP3Cjkpgeyux0cZ76MpOs+xCBDXn2+v8IAsUwp7OTK
bbfOEgGtDRF3GrOzWieIIUGmuvo5NqLu+wDBcYXfqNQNqSlm/Oy4cJODKWfVYzZFegGvSWUxNFBP
SdxChaQc3QaNP0yHWERlMM7FB46eetcks8mgqHZvq7k3nrOMbeamN0mF88cpZalf5h2Vm7c09ziT
KKpK7MsVPOEHqjHuSi0pI+8/7yzAncMfUD+zc15xhcKLkoyT1qtIO9y0Jrqfl2YkstsxGDTRk7IX
37gzT5gG7vRhirg9g643LS6H0XykouaNuriZtqVJtQwQK1uuowAWBMjV8MtbHtvzLVqEat5WFbHf
TIqWa4NF7g/v/X8nzv+uXJK2+LcTZ4bOida/Dp3X1/05dIY4R13DWod4DnvlQ/yfuTPEOQsJ/V8r
JUXR9OdyR/wGiA6YBL3mWiLZ/9FyB0/Hr5URxRlRAawuFOmXwuaD/NU2iwOgtjPdZqcirZarG2XL
3jBb9iVLAePAJg3o2NXEP2xApKE9kPVMjTJUJlFnyAe/0ArUaJCi1sQokTmsaHw54yXLQhznzI2y
rTsb+FtJ1yAOqU2TfrmECSc461DNDQLu2tXnMj3yKdlrzzFVyO1A6sV3N/UwJ9ZJsuybWPkA1pgp
P0LjcoOGULYDRQIeMJfPq1U8H1wMzefKXlMHnHIqb/iYPKlDxpIfyi+XPVAQbnY9LrAZRgw7/thC
RgXgX0d980SST2+cPYQ1ElkQYI1vQ6QibvG+i6BJDGGU7Ioe+irqgtiw32PhzxW0N5RW8aXqFH7L
zYiMabyvTXd97kfeGN0uvgEHucpmGT2OkXCw9WZFbW2SqBAs0Ft2VFsjFso+0XPzX0Yy9t23qcl0
eWByh4mZ/Fx748yM3YNQtlDE5OgtygskOGBCIDeFE7KQAPgX/V6APr5jFlXtKrHk9NLuXGtyJmvv
bQGizg0YtPgOl6F76J1l2/H/VsNl82mn9XDrohRqg0xE6phja0V6ZVbbMQyHt4bxkefnh6IpxJWB
He49f6+bwUuDAcDBpUEIUlu1vq9BanHCaIKBuj6puEn74cPgzIShaDt7A8dMXF9exqQT9tU6kLG/
G+WUPmKcnjY1M/Nt6Rv+PoZ+feo8X72nNmrZEWPaNnGb8pT4ZXe2wvyIwzh/jPM0exgm6Ecb14hc
yN31wZCjg+ajZKw5P7MvHJqN4fvt7zb5Uo9FFrvbCWHkKYscplhjV1zAJLS7FpZZAAUvRwQF6r82
ZHwgT8L/dKIM2XkTNuk9mRT1R8RAQ6L7mAUBDh6agC6VxrmEocScE0j8A3EI82Gs6+VFmflzamjz
neE+8TSmlX0mpiNfHI+LyhqVtUfFAfUWNSO+hKk4NWr8Hoat97EgGN/5uiJ0aYij7gNV9y5dcBHK
eKTe0uNlsGL7juyJfK+GBUK6E4WAU/EfnohFca5h5cr3yey9W0mBilJn7E5+muWn0prZOADJe26B
Kt6p0a6OmSrUZYQbeAusjEo80vaD1jGZyoNO36BDp+/8ovlhmnp16eHlH8lE0bdEvILKjjomE2ET
ueekUct9bXcDWjbKBqBkDBND7bkISTr8hQaE6z0ZksmVME314C/CSVGRcNnnU8M0UHtJcmaVou4A
arc3Q6OS16kV07BR8yiuOhuSaxdn9XOf9eMTnHJNXnBU7owp8d8Z86cvzeB0l86ufGOHPyE9i4WJ
/14WMRWa8MOTXqbx0C0iworte3vaPfuHPTT1AR/5/DqlZraN/DUGURenzg6v0ObKbdjHdDo/XUtl
dDJ9fZltMaNkV+iRrP5bX444Q7MyPwoAB5vSRiQnZTscmqR092Yspu0yOfXvOrT7i6jHZJ8T3hY4
pTU+pBVqwzjz5mPV9OoBEsv81lfJ8gk0cnjggIR3E+bfV4ZrMhissdhynXRbUoXS4wjw86Ct1KnJ
kKmyLzrBU8vPztVijPXedzP9TRkYTRavQDQ6hULtJoclQV003b0rgWIwsZodDClUG15rmz8Wk1X+
hhywnlMZ/Ro602c9ZcM1Dot7jTz81mRX9GZ6XP+L7df7idpuYIuUiKuTZOLqd5l/a2CYepinoedB
0c5AO+FuHwj8uMvrXhM0yIUKESgC046uvwjCsUOrhPP6rCuUZACgkoCDUV77GoWuq7jVsEoAt4nP
1Kwt+eTMeJoC0Rlh0NbO/AnucEIiaKxhOXSd6bGd2/p3DGJ4qdLszLMEvkxdmV9TlJKnvLUBetBg
PMsmbR8jt3NvsdujX+4hAWz6Oau/tGXvo/B3l+uAHuhDVz3OPCnHxzwhNxH/VevelOM4f6OyTVk0
RbV9LEt7PBtRMRxCUjlvB5q6s5mbK2Ktrl9G226JJmQVOlu4e1UyxQ882cjB8fsKcnnp/pjxd+Nv
6VrYln70DdFpugMJiHy60/ux8nqyH1oiFaTo0HfzOQPfILPTk1lKDmqbDx+6QJoMzBKUaOAsBrZc
Oo+XsC+ZCrjg8Dy7SED30839KC0s58To1q9eBDx7Z1VR8buKIu9QEtV27WXoXQavNDb5RO0ZE8vp
95lJiK3J8w0RdZffdpbw71KvaK+ZpNXtvRY/QGV017DDWpxaGRaF3EVAOJT9q2dhZTE1AxIcWwbW
yFaN/QMbJu9mAeT+nXY871nNJTyufY7xJR874zmObee9TipuPRmeGqRORlquN23NWmgJw10nvOpu
HbjcJtjmuC0N8zYjtY8Q2dD2WOigi+acGJn2mL4BelUyIJ8q1/vIIALtRaI+rL6trgY7kCcP/8FG
ikndjJ1Pdl00myxs8GtGYXldf0Bga0oelq5nEVcmWz+tzWvPxOEUmYxkmris7qvIVF9crxt2MMRR
7teVfTAclCMbgCxIP3g4on9sSSJWGvqqaB9cO7I+qeWJz5OdXrb9OPhPJENhBalbcy+wkD/btDsW
EkFt3WdhHcYbc5j8hzwq3QOkjioYhbrxwmbkZy8sgXkVVbxF3obfmd4Oi3/9Pe4T8jGMGfV/2NXu
Eb+RJkKwJTA1nNt7veT6Pps1UZyxaR4nheZzsXHUjCOz1kMoG/eVWsB8nug9Z+CZyv3hFUb/XlSe
vQ8z/WbXubtjpfXAPKFN+X6io+4YWYeZ3PKiTdql8XnUjXFy6FmYn6GUJ6oDaMNnohtCRNh3jWez
n7asasfLjHKYU9NCxZZm9n1IbbqXCQ9r1jFWipmwcVnS1Av1BwZUAt+ivt62dfNSiqa4A4NqMXHA
IXTgeVfuB6vPEGYySzIS6R6JO/XuXOlOPBXc5J0CzUHkn9KO13N47HUaYhzMSC52ZSOzk51HMuDM
hsVYaayhjTWlBPeSobSDgQAkEoXdo9OswZ6LGk+OmEFIZjWetBw2DCeH76JmX2LUCpl5yAS3Feak
FNMTlSrzb1OMT4PIoy8iq/IvFvmoewuPKCEpYV3f6azzL0vmUK1EdngSrmaBGsF+xt7Kth6x/xCe
kn5AoAvBMj2nHa5aVh6SRNYkYj2M3C9qv6sidVviMjIARrhDVe3dMPPMGJB4zdnOMeyxEFBXdPHz
rV+jvfezhMCeqJ7OcTkuu4jC/23B2JBaznPkJOO2N5NbcE6Sb2mdi8yVXxO4L2soZx7UIQ7WjVs4
bwRxmafZcAknGZmD1r1BnolaPshWQq1qPHgaDbcfDw47fxlv2hpDTtWV40EokpszIi4nWoRLksuC
VJ7oCz+L2vcznlHEif1WkVy2MfLkjpGRura29S5bfGhsPJiD0LFvs8xDPVDkHBi2M4z8UIRiidcb
IA2MdWICOMueMRgZLGd8JixYLfNFNVBCifGpikA4ZbOX4O2CxZgAGGe9WsOHkV1aBRtKhqfE5BC9
ZJgTWnN8qIXvkTNsu3eTgyBCOyWIC06/D6N1dyCTw+eia52jJnz2jGdBXOOC2DzGWBaThIbHXBsn
p0S70C7bbgmAGdnBbPXEFFdddFuCLt77yFLubMGXS718lyyEozu1btC7aaa+fxny/1/427/oj1ZK
uonPFqsWuHKP/vCfG8M4RDHK1Cs5pUVLW2eg0zkz7uUubSPzebJEWX9qaqmSR7bItn//5vS3fzX/
/3xzRFYorDzkjz+x8H/tSjHvY35ZdHKSU9V8LmlT3ugkj+/YcmePf/9Wv8gb17ci5oL/rd0v4sFf
vmeC+d2Bi81babMud1wjc06ISlR9//v3WaVhv34nZbmWT9MvPAaJvwi6mMjMmI/d6NRrrAJw26yT
00/mLi+T7p50R/Aggx9jhJyt4kOTSk0Y1hLFd0YYr801Vqpy9/cf6V9/4hWuYLGCYSOCR/2X3r8X
nRd3dBkAYxgSiaKZDypd8eHkboNHImur+Zz6gd9ZNuH553v/d370b+dHBEb/5Wf6V3hHVXYf5S/o
jp+v+Yde2PpNmMrBPMGCjEAD9Y/ZEcrE3wTLLoFkWAruufyify7bUBILwb+C+4aXjiv6HyMly2IP
Z6EvRtEI5NKx5H+ybLPUL3kagngFR3LVsgn0VhTpesX9hdyhsVSYIdqpO1ez6UZlX+BcgXVmB3bt
ZPPRJRmzxCMRxSl7X6WvkZkbQY4K/FsbYhpnelIwfQexXk+neKmxR1B2O59LY4JMKBOPKOZCzzcV
hqj8NVms+qZqF/EtVdHEGJ4MyX4jWKDNq+ZoUIfEcKovYAVc8Be1PwzniSDI8dpwh97FgJXo3rHw
gIxwsqvmNhEQJdZtMKnciH7WxHBqL8I5UC7mFln/VwTJULMx25ysYaIdnFnNfYd+h26f6CVr73tc
sDsmT7hBLCdOrkQIjieKXPdoND1Lrqogh4kWcXoYauNgpr25rUz/dSwndYiNvMPrF1Xrp8LQ+zrZ
bN9VrzAbwzePfckoYHXVkhM7ZpLY5r7KU5o8AHM2dWTJrYIip2l5aIXYCBhxY3/biKVH6Wgm9tlK
l/a+1WPqXEbp2p8ckfmStX4aNs8LmeUnaOQtaXNuE03ZLm3kBuq7M+lD4+k435mTOV4rJOGJla82
I7Sw5R5PeDHIYLTiuFPHlA4HyB3Oez307oXhE+zlJZCIxUgVHOOsT1HU+FED/vkkC/zxAzU/GTsO
uCAUnN5P/pbr6q02eaoPymTz2RJtgKPRmL4hotPpDx9j6485FHQ8t2bZ2oV8crGJ7tFXrKA0EF3u
GwnUuHLrwh9uRiqCs4PDmgPVZGGMla9PTwl2L7VrckLXZdXsRMIWNIyz8a6dcXiLJEk5LfG7bWdS
X4g9kPLspVm1i1gr7Amez8jtjO8IKp0eO6e3EkycublNfPqBIK+76Ox5qODYanG0AzP1wiNTIha1
uZrtU8HSeU+J3X5Ups4/za6Wigd862BPq9fhkhd6uDK7tAEr0fry3CpWbZYiRytFsiaPVtl/jVOL
eN0FST6hWCmzwsrS0deoscSFHMxiD5vGOAzKgm3C210Z7ekDK4jpoSQgd7U3IuKyZOjiDPHYRGWm
yC4rVgB3EONJRGVOeRpGgeqxC1P0R11u3cCCW86InrD3pIKmq0cIwqaaCSs++T6Pbp0YIfC2t5wb
6MCEMUxZ+BUJjr9nH0kgXaqsXVazWeulq7/AqLu1S9d+WM/sO4acYusKBQelltclRb+JRqYLPKVt
2mnMfBwBLX5UchZ3lZ1Fb5FOoHvXFkB49njHNseHMydOdEjTITtABw43OPXbb+YIf087jf8UWaTG
O8SR3HiZ+7KY4q5UKZQZ/OM3xFzaVBo1Ite0HV/tulq3hNk0QhNQ5juGAeY8PdERPJtzoR4d0+rJ
IG3VD8P1cPx2HI19tqTdqe/yTwicPhgexnpbo59rf5MNjvWk1zh2jOpD9Wl5c/SMHzkSDM8b+3cM
tqTGs8Hlb2jjxEwOfj0hKJu6H/LTKPDdZxMEGC9NCWgcoNmpMvKOk+2Em1GzhNr0Dk489oKSE73v
kov04/6ZHhOzE8fnmRw9Yv5SPOnmfOOPKLPtLPSPhhtrj+K4ds9eYwCD963c+zY5ZXzv515yHMKq
/Iae3N/mAqXRRkP3cnZzZQmmRfIUOuljVzTeCRjTtM04u5+kQVI0XeBsMj5QYTB22LsEsmDCswG+
kLKX3KbQWTcMWNTXKo/GTRH38J1GaaVb8Nz2u+2N/lZJvTxWiNXZyDbjKz5f6k+VVmvYHcLiwZ0+
jYmM7MFU3Y8I7yiNQ73sqjxuYRWa6s2Er3K3SNTfw+Qt93NpV3uZg3gy8QpeQmMUT/R6S8ZAqcnq
fVW10a6tavEBwa7ZWlNfPaYWW0wIEzFEprQ3NhYN0Q8MhOJYDqX7rhDgGduFU2u3cMsJ4m4enA3R
5OO2rLjzeyMqY9cbnKtZL1HAFano8qT5JaqZKHqjHZ8rv9H3tcRD2NUC3eXsx/P3ZG66JxvoRhrU
iAa2rZhzRIUSS3U4kaghJf3V0sxzH8D2+14UQFEol7Hj2GZ1ZR2fBoaqmxsiQsaHHEEIgyP/Wg+m
nbBhTOLwpBwju5KcWW/ZXadf83Ywn9M211dXe/OTGGXLbIxl+qPlTyjzPaZ11RQmTGNCawyGOBF3
zaCz14K5zWvklc09DtPwRWdhcuknEgtithVfZGPNu1hU6WHGcbYL565m0FiS9mDxbRnK0AZ3pzJf
2GFGbv/FsgTD78Rqy63BUChwbKvaIWcW9zUbELVzkROfy9HAdVBk43yxkepnQdJIk6wXS3Ecu/HN
mrCK2gMcG7gtdO6gWJazTKTzafL3jaAKy+QebPiIAU/4r/NiA0+xFh70XomOftNGbbJnsOncuGz6
nkN3aKKNAVgWv1CILnjrkZNKqjBxt9oiN+G/xfH/nxbNkVSTf6NFq5ou/l/BR1PlyS81MgUnL/1T
j2b/ZtlsR3GN23ToOHv+USN7VLvmSrwTAOPW7pZC+H9qZOX8hrJH0nN6Qpm8jFf9uXZVv/GfkhIG
987+o+j+DwRprviXBldy81E+7SaJewKDzz/XyO56G0fJmR6ZwoCklv66nVpanrxwihp/2nWDFhV0
NTeGYYHH1jqhEPFxei9s9ANzxDe6R1FTZLvKrqL6aOSVhOmiyVQSRJ+q9luR2N7NHBKlwABB3lZ2
bp06q8eDO5ukRcGqUOjcJHDMMc3B8WY5I40Cs/8NIVbVe9l6+l2LBXAkQCdiZsZSejcyNq0PNmuk
OforcasqI8fZ9JXp6YOZu3Gza7M1uPEPJmmWJvO9WXf+C7Is3nhECIJ8s/Wmxwgkx0uRyOmxwQV9
CrM1pl7pyYUUSoByxS63qTxsyaRbtp6Q8JMKCJs/g8dkuYYhgp6Y7mdgJKSv9z5fQwP3YtRsRqCU
pZLPq63xw125pVVl9Ec1xOrLMnrTfanA7bZKUCjilpW3kblmp9Fyhy9/BBkhgF0rRT+F46Yp0b6l
zRoX/0c4DzfIdxVyn95MquE/IwCwuhSVbX/MEa/b9BEfwJYjn3aEjnIvFGFdaRgzUuoJUF+QS018
a2tFQHuZgs6bCr67n9skCvWjUMQUA+koifm4VRmeFsZ8ctOMCbCXMBlOqoJQS4AZr3F/BjvgxycL
qJjI19xyXnOE//hBSYkE4Ivq338x+/UXHmYCz/hJ2/bNgQM/3YxMIuR2gjdbbNkjZMmDUZh8hQr/
N0rrIeafXpuDkbXznkOO2YXP+AftFY+mYVM1EVF2qLsCqbfOili8ImsCWZoXC0qsYVx+xOEaySSG
0n+Z8/GxW1p7P7M0tQJ4heD/kLE8sLxHTAbNxAhA7JC7aHECrst4ztqCEz0D0hLuWdXzl5ZwjQl3
45DPFq8nUScUMW4/Y8/cbuBsYAzNL+urjoy3n1lnQMN760oUzhqVErWcfIYJ6DQccKpuYN523xjb
4ItgcE2yEgvccYvenB+40iAqga5ELSK4VDMoLEEFJEHmIwjaDZyiPIa5LG8qtNrWEVKiOhkptQjV
guJzJ0sPr7nAoQYRCrITOKqCMyZEIv9tmlYHW8myBo/rep7M/qTf+/Un8hQ2/MJmR+TJlj/GYzI5
+Ggld0wuSYkbBn+nLanfoR2ELz9P4cQg5mvO2upSrRf7+hR/Dx1i6kZ6xz4YzWi+/0lhR0YNbzuG
Rrtfs1/YVPscyA66qwp07nHC9My3Lzkqcc6A9ZJAn5cc8Ixx8MBA8WMLbhxYXet38FvNsbY1AFin
d+SzhZ3pxQBbzEaX/GvkjHVU4AlyuTidCqb4YpJyn8f2OGyIHuPrCFjDfyTG1fgiuB6E4AQzFOmC
bQbyCr6OJZ8Hs+NbQ1omLZaRIalClU96e+7fLPUazdn9jFCpwMjBOmIZCBjFbWN1j7ABV5fR0Dwi
n1r8rQDEfoTwK1BipP6NTR7jVlEFNwzkM76vmhoSjJd27uMdnDWuMHRja86X4o5VmDQDj3M7MbBI
Ca5I5hrZJg3BY+Zze/bKjKCxQub8HUz41gn3BEiPjtWJEKF87mzdcwTBIj5qTnQsfiy03zNy04++
bKMDBi7S59Zsr//N3pk0x21s2/qvvLhzOJDoMXiT6lhV7EtFUtQEQZk2+iYBZKL59e8DZZ8rUudK
z3GnZ2DH8ZHIqkIBmTv3XutbHgboCPtV1s6fOtDtzn5ULJH2zAce85w7ygjxW2wKsFvnyASycIxr
H7amTWJyciyjDMyGOacXyrEAD+uBb6lIF9x/SrjIVpAGYZOV63CDAyTna207AghNHA/gUSohzlJN
RLq5jKQ3eQu4bFUyDWcK0xHa+xYBNDDNI9SbM9pNiujgXJaC95OVzWKOCJc7B05PPdFsaPn1Vhx1
r3HO0SZNXO5u5qln2hLhI+QikV06FNp7zoJYdd7ueceiLmTIy2eG07Pc/wrP7Y1KNfB22jp8TnPZ
RvQgZE8LBfc247yO9a3t+mCDGHS5H8MJKnMjg/AR7QFf5LclLetEWm5g93MruVHQqkMWdHg0JBP2
dtsglL5zPJ6uosjDDOEll5fU6N3bE1fqwHkcKijX61G6bbJ7W1nJKhIes7hAPooUWMvjEBMD9uS+
xRcWzrJKCU16hJP07ku4pBtlSpb3IlEWeW7VK57B8NA2zbIZML1jc0ZrxMyQmcjNMLssZAX1g1oH
6IvFakyQxyT4VJJpz/Jjl8NGxPAuErJ5K7SPXj2Hl2XV9QwK/WgkhbBLw+J+zgqMrClS6DWzsPiR
rRTefI8Q9Qhhl6cmVyNrLc8kgAqWmJpsAsvN1hwfvNe6Kh/rWLTHMBqVOawmSl/qELs9Ww522nDZ
iEAhFmeiKhuIeSq4E5VvRjy72kZpgVZUCtHfuCZxivAaYuiwcfKQ+tJlqlxFX2RvbQ2rllcdRu11
2/tr00ewMqxUKZYc7b6fDl2iGoCKYVtGSwZmvcZQ+4Rbctc0JHIbKNPvGkdDt/RPkbXEdk9e0RhL
FCASqQPtnZJVlUaY7XgIX22TnltjYqXDTDvDvuw4MiPEcbI1Tt5yL7DBJBxBGviOTm7v8srS4DeQ
omErGyCIJTmAN3+YNNTNBuDL5MGG2ofclu06hvsxcvmT8LK3nfk2GHv/2GUh21w6ysU/1aBaHcQD
jjvmzxyFbtM5D46+FXH3CuIgvSSgyRRkDTrVZiQZJffVJXgt89onfdVedYY7vhROnT1MfvkAS1wW
V4XsnHuZQ/M0+m4I1s7chrtA2/rPbmrDr0mAwqAbmGzO3GRbCdxwE6ACBlyYhXtTE1w/jT0cvKCh
OeE4WMUVtPvroE2y6Zrr5b1CNa92sxoi9vHUJCJ1eAgXaHGOOuvCj4YvOhqXhGr/K6PD6ZS4U7UR
oM12du7jlejd9r5jpED5U3lbdyzH3+l8ng1sp/QJuu46SJP5HhWbu659Ve7IBHQuolD7VwjRnW0s
u7MMFZ3k1qMy2nalrK9hwbNEgRBbw0hutjF1w1GVrThauC+RFNbdIQ+Vc1XbzPK5aBVab4nq1kNq
P0oZbA2Qe9B/PAPqa5nfOfj/SAA7GnMubtkEMK45wHOIA/AOBfbS+xiil13Z1d4C8HARLDuEPQF/
HWM4qegoGWOScfPccUDfZJiXaGG59yqF8IpQzTzlmBau6qnoH+ijGldT2XCiNwKfnxuoXb/2ugip
SyxrPvZjJRkr9vXnbJn/IfTBp8/9beVnq42CvT/Yxo2JShDwv/CRPjg75UNmIxWzpFPk+y9GXn4e
jUV/LqAgIntuu50BwBhmtj/QuJl7dWFGebJ2g1yuWfzjzczAGzxy0h905b42QO23FkLBtWjMYlmt
xGGi1fcStfBsNlHdjZ+JqySuzWipBFOz2ky5mW97yaA4kqworPxtuU1rgVw8tfy92dHiBko6bTpr
AuY6wKG8ou3j02W2FZRVFpKg5dr1rnmCBFkIJt9Fi8nZh5KVndJI0NsXWbk0n+dOx68s/vEuySy5
mQPR0IDVsPHiJALaUZPqeNF7icHC1KbePkA79mjknRWw7REKhKZfJBsISZxAErn1vbaGJsFzkdJo
fYTkVxxmpJcreIv5Dlv3jPDd5D8zn86AVZgPQzwG3OIkRDjGMXWXwo+FlCzF3wGlx1exLG/Q5ndP
C0T3kvbYtZdXIFapBj6VysK4MXReuwIRGfXHXMoJvKbXKPNQ5hgqjoYUswV8187CHeQYJYdtRii0
XsGNs6PbqCf0eN3ommOIm9bBcyQLFvUoy4ZmYvmeUL3hImpn+8LPkPa6a6uAWb2KO8MccC0xr7Cf
aVmy6y6kag+uZWDHOwwIbol5vOX/zxGSMgV0S+IMNLOXdusqalBauRTg1dBRiHjaYW9KZVNMR1PM
42myBnGmFiVIVqLPRVRGffbdif//ZzAtcC6RX8QB2vI5Rn+Yo6okKmgJp9k+qsF6bcoaI9PT7Myq
++xMM2lNThlSjdSVSwDdCtjur/K9fpzkgtSxBZQkZ6GA2NaHAdeQeKKerT7eu2MYwGirujjdqFBE
1o1gih9TbEbNRWqnSQyZPJorxP5ddBNXvTgHphI3Tk2j+Z9fFlx2gEIo28nZ+TjMrWwV4eFw4n1l
UPoh5Rrj7ZgCyqYiI5kSIxKVjypniiNDx83zz78UDHkfpttcD5uERv6hBAdc8r6hUU1+jgZr5ppM
BUch3K4Tir9OBmXGF5JMLkZYewjsc+5HxkEs5fe34HKNdti6dbwJJ8PKJGwi2ffLCbqRMIf+fEsD
Hqolt/cXb5hR6PtxvHCZe7s+OQamieRn+fPvppQ6jFPDNoICNLBm7hNOo+pAq+cNRZMbAiOA+cMY
YuzkCxDU6SR7ehVvwdtpPbanspLfmn7/I2hJLD2f7xIPuJ+YEtoOSnzHtwXb8Pt3ZLiYvRV1A9Y2
nH0rzyBPpqcl9djR4oH9SbQPLQWLqDZG+vah0ZwvqgFC+oVAegPIv2uWMxhX9ueXyv53b2wZEKNZ
wJ8EBer9G/O1iU6rlcm+8ehbU2py9kKyNwytP1IV2V31idlg4BymmrIVkXXd5UftWPqkHI1yP9FD
+EhTl9My2mfOz6LnGPuW7Rk7M+V7GnfU3BFCq1W79Hqq0OTJNmC8UZr67QjBj8bg67dDaVqSOq3m
pQtQTYzekijFmIC9cLxb6riXdAlaqeYOY84KBi8noJ9fDusHM6nwfFykHukutBB/CCtNhCHTSfvG
hZ24rIFWPZNUE6jlqFONvHsW/vAK5Lg2PlXWTPNkLBPe1oT34dMYelyt2F7C59zZWGJyHf4nF4t/
jwxUYxIAOFLaFiPH1QCskTbzoAiGqsEqlOvUB8O9jQHK7r+FTxOkQ/OGsbrmDuFA8Pr2Yf8j0/iV
TIOUt5/KNG7++Nq+dPl7nca3H/qrBx26v7EOOg4JKygikFzw+/5iSwkTCYeLesNjwf7mlv5bprGw
4NhTAs/H5RO8PWt/taBZUv9Byxl6//vlxURoy7Pr0HRGHuLyxt4/xYWtDHosib6yafLqBJhSSws8
50gks6m6IhbemVC/kwqaIBpdABb5wrJwF6pFt/AtijIAdVHx9q/bhX9htZAwxjcoRr/wMaw3VIZl
tyDc51R9dhaSRhssUA298DXCPkhvrBHmRv6G3yCTzOLMnXRr+PX2Tb9wOoh6kjtTByUgELO66xee
B+cF0B6cLvNH8jqGo2Ms6I8RasVnU3IcUWZikOgV1OGpSILy1Fo9RgsIIl0gYIksVBFPuvMJWEl7
QikZUU8t+I6oH7fGYFN80eMFDGvna+2JceskDmq6FPPHWYG/f/H9kmNbV0fov2eyn6RsujuYdcmT
LHM1rRltNRs71tYuTHx0CK5MTu7oZVttOpqpkVmNV/SVmDfL7gHNH9U8zXAg+w7ahrVpN/O56lW+
NsX4NR/HFj67zhlHGTq9kmnFUaxq3O5LWs0Mo5c+2UPBM38TDDrZGX0yH9sSzdkqQX2yKXTgL1FT
MLYzeg93VsiMwSjiWxCu2c7PxpxYFk72HaGwe3OoGWwnlbqqDJGSEVB6waon9f4TzT5F1zXM1z3C
5Vtq8m4/IY+79qU5XDGam/ZsFfYLnqz6CEW9/+QFVjEykDPybWU1oPrbhDCXkuHY9SykuZPCNzZE
ZFf3Bg3bT/3k9M9szcWfE1LIs6VVyiI2Vrdl5xo3duqTGm72n7lWMHqQp4UM/4Lys92meieCptpU
TA1xM+XkI5q4KQ27HUErdd0tUmqi4sZ+XIe2TuWKEUSMrh4j0O+2nQGUkq0AVmHMdoXCFBj31mHO
fV912gSPFkrAAFFJ09as4dfCIKT967xoSweXb1nRpCM1N04r4rWqTICG1qzWSRePu1EYjG00Moyr
ZibArIibgIO1R+elirM7s0EWm+bxfJuj8G5WmRsZvwNgDspVFHciXMnBI+kBgaK6rCAisn4lyTFF
4bSi+Mk2S9rWZ9jHNNjHbLzywtzcJk6nrtkRaDfUjdT3rRHPz7JANoMwthkvGzeNzyFy/NsA1xkC
nvhCax+Eltn1J6wf1jZ37R5Rt56BlAq6NtCyJM7apCc+xut6P6dngNV4lQZ0UaBKR7hgBMb/iQYz
/SqBgpejLmcyJN3lI8tIw4QdI1EVS3OLE9bdpkZD2yIR6HrxFAESgfa0RQIsb8u4jG/bxLE2nvTs
LwVgLfIEwYg/dVHio5EO1PQJdoodr3HAGtiMRbJH6VAe1QzyZFXSgInW2pCu3sEZMG/pvpN5YrhV
Xt4YqMgffQHSEWpqHTVrR8qIlSRFZz+X9StNNXNRS5TjtT37JfPm3E3zDWRK4zHWHeVIJtwwQrwW
jxs7FRksnqyimTGCViELgzbJPWdA8dR2UaXWMcqURu4KrwbWdw1NMxhx59lxicBzx4w8LsN1PEwe
jLrRVJ35KYLQO3kPsV9y/uxt8HfExpQ87ce5scgaWvc0F8Zm42grHz612RgHvzsxyqWKVKjCHNyH
kkA16W+DBpT6zlCqz14nBHcix58n2paNizHrf+qAX9UBNgGi39WHP8g1FzrK/oWpTZK2KIJxz6e0
I1//739Z337y74H0GziSNdExkVX/qxDwLeAoDKiR30J5XELX/jWMdigfTI+bDF0mZYS7yCz/rgSs
3wCx8tdtmxNMwHnrn1QGy77//bED4S+/CC0Sw5UgoCR5XxdAdB4xifrzPl8Ui/aMlsjy4sfvLsq/
ObR/nHe/vUhITeW6fM4fgrj7WsOTCAOQFTk5lKPfzZvE1/4aH12//flLUVb98HmY7LJSOhBn3IW0
+/3Bri5ZkbIYQsio036VFimSNgteuFgUSQW5wPtStCSZzq6zIvel/sXL/3A54Z2QpY5FWwi+tI96
cnJ1AnfwLPw01XC2Sv8pwPTz80/48ayNRsFyIeP4RH+zr3ofztpta0yKkZJcpszn0bUfkQfWawUo
GKGn/OPnLwap5+MFhbuNZJ0Kln4H6mJuxO8vqB3TzxsRpe05vMkjnlXRrDFalsfcZTEuSKtyokHC
DoxlD93ChtO/kgDDAH4yPmo3VE4MhKyYTQ5iX34gxiOkH1nrEIo6XNN6xXqbVStLimaRgYWrlqLy
wPzN/mplwwXrcY9tbaG3tL1pPU5dSEzpFAJaAF5l3yRSIRRLcnujzGl8nJCyXqEAHOIVDaQWmZEM
y7NHa/MpnfwaXmKL3zKu3Vu3r/KTR+NupR1iOFSMz0LpSsDRCCNAkEpCOHPlTqt5PrChXMOs1zu7
LP90/OJUp87vKF/veyCZaF+D8tiY45eYSRIvkXlb1EIEv4Hw2eTNLC9oPONurMTG7bLhD+SQ8uBn
yW0zkWqYhshPHatUWyoy72YkoAaLnxcdrdh+9A0RHbMk7dfon5aEJP0Hwq3wPJJbu5lEluEzl/G5
94iKUwFlZKhjutgxXpgh0nuMzdE2M8fkGpnsmu4ZUJFgGi5dDOn5Fm1aD5FomOIQ03VGzlha++FZ
+vQWEo4naya2dODNLCOIsREobKuxbb0Hp/KNpyTX7S1jJ35PQIryuRY5Ut42VXs87VTQbUuor0W2
6GVUyva6LkCUWZXMd/hxuEVKCa6urqd1hrQEDKaydjotzEe6YwGJO3KEOZ9a6lmlJilxa3MSV8bs
x+c0QeHHkEqsIuasm0R6i088FeFhNtroKoqS9r6ZUaOVbXcVkWH4jFusPztE0OyhvYtrMdrevqy4
F8CkpTvVV+MFfKjnBA0mOvCUqJDMt8e9w/Ds3gTPemFAN7meY6O+UzSvLWif11jEG9rmTWHuoF/L
59pzqTOxJlPd05G9aENHXeJsy1fRnHh3KfzVKLLJ8I562t2hiDGl5glYPvdp1PHRKSMJ9364b6b8
AXEz5wadGRcO+TaX2IbyVZpwwtcKEJwRDeLCsgHkQX8s9hP5IQeXMdjlVJvM0M3YrW/LiX2DOxo3
wMogfuIexcr00mHOWxc8NFc6zoxLeNvWhT0ycvAKyiYGuEx5sRn6G2lKXi3OFyZRiHubMKGRDEBG
XcfRCKJnwCsVI+Q4vIijaLgc0aNCh1Oo6Wj4XlBKRzz7INosx+TQFClOBm6OMtErhuNsJeJqwdzt
oswLH2tCeDg3pNXG85MX+L5PoYBZHPe9eUphlO4tbX8hAvKKXl38iZ40CEafK02aybF3oAjrKG8X
xne/iQadb2QgElRS2bXRSWJJwNRuSFZ+TeOAvMTEzKdVEMX6EIFk3ArDvCfFZdeDRdxnBrblGubq
xZzza+PIkw+tMHyQhd1gbBrZ1juwxfZLpwtSvJLG23bjTjaxfXbdJlxXzMCrQ+Xr7k4Zjf3Cuh0c
aFbZF6ZIOGos9XaSEN+wcp1mvomKvMc9HjXTQy2C4ooFaT6IMcTvZbnPbT2QlBgGxmpA7rgumgjo
r5nAkqouEjaAValRkq/imMZoUYrqpiuDQ6Gth0WDs7IiAUwWe5/TBkhTsQJsotwIruMo/yMC5gtX
stv6CimXMp3ma6ZsfdtwXA9X9MwRK/eTd5tOHDNCTxQHr7TaPYy+HMTNPHyuOSmjymYSuzKxhE7r
wuMBIglmXGT5RvEkBmmimJyde6K8PYx6mEBEUWbdCg0a44gi6bew0HDcjt74WpYTpElZ0SzuqnWO
u/PRTVwIoiHuXw5rxZL8OjrrDPvWtghkcaFmH76RnQ4SwdisOTIGxh6Hk7eW0v/dFzZoz6XnvQGx
lhFjEfhnqF7iAlBQuW0tZyKUZyJpPXcAvHthsodWgW5mVO7ehU9766Ui3ydGHH8J3G0Zp9NFMSVc
fp2MD4KVawOZJeDkPRVnO8Agil6QVrfR59YnR3pbjyT1px7+yJdRe8mN13rzU1fZG/hVxJMyFWxv
lGh6kqwy7jwAuXsQ2u2KZFhjw+b5Z8WICs16m+8gO3QH9sfhoDObNUPiX/YuibjAr7Kxik59qyv+
U+T/usi3KVh/Ijv9Q7+8vm/12Wxh/5KbCkE/jwgGOwTAxljouzRlzH7/XdJbNPd82/exBbjgEwWl
69/6Upc/cr2lBMe1xcb6j4CHYITe12wcHAiF8CzsfXboYS790LJPemfUVdvY137U+Y8TDEHE+QKh
kzsX5mZKSrnsNvUR76UUq1pI0u5mQvgGxp4XyurklRshkvjsJnN+UwPKTi7liJFkbTWS3oBqnenR
1o7+3OdUeH080TRoJoumiw7oeTV9RoqLB8fnQg2TOKElQFGqI32LLAGZQGBUi91kbn3ijLGv71Jm
LHu/zdBItrlWKx928QWd8KZeNQldKzCLhKZvjAmtnzNNvrdLRhA7e9yWs0LBmJmsYpjaV2Qx5a8S
d/ltGru6hDJSjrcRs2qib0hLNjdlUwKiyYgt9A/11Do4eYTC38SBnD+1O7exjipALicTV06H2KgI
aGSRGuED8QYRz8HoI5RSlqV9j+y1vg+dLD7NWa5vJaKVJvOLfjMkJVryqKvB2jMm2ZdhwcAoc2om
ZCnNKbhhKkfg7rRj31zbufXQN03vzw3QHbPu5T4SbqouyogK0L/AdZszm21TczY3I7DGylzngOxu
bH8uK7HGcWAcnE7UCm9GLMmXzJA+V1W+TQOEn3RUGsYM9knnFY05lNQ4od000uNNjvIpjLZ0JdsQ
ozFpdDt6Gww11TKoitcuUb4Mm8Vk7DCBiG5Yu11vYzLDkeL3KHYMDdQPSaBfM90fRHRptcRQbaTT
6eXG4VjJ4N6F/jJmlEJ56Q2FPva9Uo15I6Yy620SpbsOpWi5ygdr6MTnGP+cNT/TQZmq9rUfUJcS
ckPmRxHdvz3F/1nwfrngCY9T3M8WvOH/PIM/fd/QePuhvxsa4jdWKSvgRAiPzOO0/d9NjfA3H/O2
w7rzzWvKMvf3eINljqO5y+SDfZghB4fzv5sa5v8mQJ5Xf98EwNUN4xILKgjZwPt4RBbak9o0Yxia
AQwtHpbYvbXbobmZiyH4p8dxXoueGg5qWsGg1D40UDQPwUzVWR3e1JuzntDfQmp8nLgCV9Cgwu13
X8W/6aUsv+9dw8ali8Qu4S8OX+rkj8f/JQUdYTKvh+ySISE6togFDcFgPzr2oeojgCP2GIjz4KXW
+ecv/kMzwGVIDcQSki4EZ4QQ75sB0kDDU3cUunNLUGlZlAhBC6FxGizyjzGaw8fIMn/1kX/oePCq
XC3UeWxn9JI+9HT6DhvkEPhwskox3uVUkK8YHRi+hmk73sUm2uKff8wfXpDOG3Eu3EQeTRZc0e8/
ZmYaI33YNqQOjOpLnyWRTRP5axnYxhc70t7zz19vYSe//1J9Zv80c+j3cXGxTb9/wakT7L/RqPeq
HiXiOy/qLICji80gGBwmvxOw95ugqJyDT2DECYBV9Vg1SFkX0cJcYZ3q/FM/WZZatdpVJF0vuFcO
FONnZtG/uAuQSvz4fhlS8ezTGgL9/HGaWAG7iLOyR/WGJtE54xtwo8suLhjfxfXCAJOxGI5gRacC
KHjvijPP4HQykOzsLRNm2jHtAlTuU+O+xHaHNCDxCu4lKP+4KRBz3YxpUiZHbVpI7b85Tsi3Lckj
dtEYUKIw9DfaFFPJZM3BjiGIuDFa32i3ahGwN8Y0nkTPuC5KF3PI3KKX/YogkuB20qZGvUX1ZmWX
rY0k2WOV8DZpQAjhfpGvPxGjHkYn2SL/PrRRJtFA+91k0KqyiHwWf3CXjqBtBF7KEeBOqJ37sZqG
q8pMEGLAq4KsDCsb6eayELQY1Jhn6G68M0Be3YW5RKMO5h+9f2ZBR2wRtXsaMDqnRI3qv7T1nUmw
UbkOJZnAa2hWy0CidV+C1hxPSD6Y95U6wojCqOZkwKw7u70KNumcui+oVywOovgJnr26B+WI4x/9
yJuURjktn5SuK422ouMFGYlEj4SPLsJ/vIgvxaIEDmbNdWsdcVYhX9ocyPBxkLP78qZJeVNrSPhx
9g4IIuKwcFxUXh36z9O3ezWh/8pYjCMa86l8JL0rq+neYdkihXPSTXfRDRphhIG0LjmGfpSWh1wa
suxXHodete1h4Ty9yUaChvV0g68W3XcJQMNbAbB3XurFnZTEDQ//orYI0bg+Npwx6TZUixwElrWx
dujRXLZvxgK7qcc7paZmgDNrcUl5upvnkVqqXMeosZYmX8uXFCbCPijABPidiFc+pYMTMumKMQy9
XX9n7AkRUIGzTXLf33BAZ3wt0avcvP2dPiLFpZzMjHVjTvYGn/U+wZWyGeIw3CnZcQNjjgf32udD
s++6LIouIcaZzVp3gyJ0cgxCvCJYUiF9E0GmCNLFN3vT0+Rq3FVQ5tb4qfFgHaE7w4ypd7iHpiUn
nB+oiHM2D4PofT3SwzSQpXRdnxp4J1Q2bGRsTNGpaRDGrRL8ShiaEtVHV9YcTtDICFDWkyE1Lp9u
Tu8GwDYDhaOeaOhUFPId2F6YN6CKkKxqLJRmjqzT1S7XuTs3dpSgN0MvGVXhtAsBkckEfgMtYxJV
g8y+cYOlWaOHPS25kd5TPZ498HXrpKE97FnGdOO4ubfuGBZ+7kwUnXSbvFU/jYLw4aQ/DYmkiO9h
F33pnRxMQ2J3cJXjMB0vUePovROAMlspE/7ByqznG+T98avsWDYBRvvHKk28m8as0EWq2ZmuGEmW
fOEjPHOc7LiYqmbuX0O6i8OmM5DcbLi5Q4iTSHE3oaM72BK+Hz3ayOuRfRrOA3maBsZT+VIJP8PO
jAhkL0my0PxFmzWnNTW31JS73Wsi+I8V6zLSHiZB8J2jKkn3noEzZJhb7C1d3zy78Kwfl7D1bCGI
louDFQsP3Ozo8c0N1Symn4mQRrxc+fAy1gw5M9db7GfogjPDzJ4wjfBgvdmeIrPDcuHb9iFowkW5
GkbVhm20phleboEXVZuOjxHvkLAGLiioGSfsjIjsS9kaxnyYE0cFB7tEQ7pIgGl22a0gQsLD2fiV
xE/X27YVYOOwia4Go4nvwH8lhzgIz36SyMeib1+mEg8Ct6B4pLmkNhloxhv6T6zzbiPSIzko1hdl
RDQOib8B9BgO/idaljmhgHo4uEhW9MYepFjzXPqcvOo22IUYIW9xxIxqN0NsKpOg2dRjxyhal3iu
yUmRZNgUjqvpvkfVDZ1q52shbP5+w47VPrhJaEVfw2BI2xVajqjezUHNuJYsLAV4CgPjFechxaUr
icecsQZ8nvyAtCWnCm79xDY3GR8JYQmJ8QRvRN1zPQbUIk2P4dIeYKflQvO1yhDJbEoIC4uFU8Qt
Wphu4hieBTfGOLEtlExKNkbhda/f7EjR4ifLvZmbBpz1eOpiM1hyf5dbCcQ4B62kFjffHFvSs1jT
MyJXHt/sUV6fhFfdwFdD9G64+AEVUCp85yROp7AiY8ILgE/gWYxDwsEbxKCxlbPet7rdT4lmHdRu
jN8RMRMOUND46yyoeeWMzYQoNIBXd43Ny3vuQA/On9jH0eThgIpm52UGHY5HZVkmfVqc7RYm63Lr
D2aRIOKpgmqlmsG5GpQiJuHN6dj2Rvda2Tk7h7BRErGzSuyaBftjl7qs0yVc73YzSbz8S7SuT8VA
C8O7+Pa2ROUifJRJRiURGQbbl9+y2ssCs9Obz7HX1L4lDIGtmAuce/DlMZ0Db8CBdS28GF+R2Yb1
82DBxb+1XM27TsuGzzromZesgID7J8SpBcw6wiUdWvdFEi96+iEwte+v49HxjirvgEcAUZ4+RUbt
PnuJYGGdWnybMO/GFFutylB9KxGfB6IlJ9bNwrtysJR1rIu++FTUhnlsVGL82bcyvEjUEI4r3jNV
zpurzxoJ6FkFRctOLkMkxHa72Exj0Oz5rvUdBI7xmKInbiX8UHKDF6eeagIMYQxA+upTtHyjGdiN
l1mV3HFFx9doCMmpobdmpN6MpBqS1ouAns+jMCYkbVwnSstPnp0a6pP2RrAa63RI4iQ40SEOPbYq
RFPA1IIY4fpuygnbFg9ZQLUcX4xDDyVPuOMJjCoSENOJ4BcXZbrpByDPgzdZFyWQ+oGpYGIec6fF
6Vr2ep0aybTlH3pTyFGPRTY3TI0SeaoDVpYcPyqOhjA9GgisV7pL2HqmoNwz5QDbPBLTXqjhrUns
bSoTWKLph5fO1EVrSa8mDljSbdJud8KMxaadRblqkXMcao0iK+4LcaoclhgGU2QVZmDiVyKnIum9
Mv/TSB0AJLqOiMirSwyTUtcbnsBhzarwZ0XCoFFMt+HoDAfuawoDJc3bsG/MW0xWeqORCnndVOLk
c+WW2jjChKIWtwboNPD5w3Z0nFvH7J1r0L3VPd82+3I1Fkd2vpIpUA5CwrABoZTeNg6La5XjE7K5
VLcmttiHxvAUMwPLvqk1IO81NiEKyFFeFPSdNp6+s0txovKrtqSGmX+ionGPNv07whZKorjIO6r8
wcFWYmTzH1Ca+EIcxSO8Y5w/JJtSmUVNoW1oBq/swN1qAqjKCpIsA6c3V6jf0xpT0oLyaAOevu5y
VPoMc1ltUm+Rxs56Ca6OUFx1d1M+ZCRKUHb/4ii+nJLeHY0DGhGkZdJYELQgPh77IQ5mITtes28Q
71D0A2iCSxhxJ/78uPbD6SdgBi9sehkc+x0Obu9Pa2GU9Cqre/jhbz5ZhdL8LPEcFd/c4J6zHF3e
lsOfv+4PR39eF9kokC5Opg4nxfevy5G8AH4yNvsxK7yX3ijbfdmNOBQHDNEtCTDVdPK8hLUYzgdV
7s9f/QdlBa+OWt4BPebxJj7qwAlvo3sivHo/ACnGSRa01hlpYH0JYJLVHq0e/0YrzrFkqbyxB/5t
/vhPx+5XHTvcLvR5/ueO3S2013fdum8/8Fe3LjB/Q/q70N+IQVqQcXT//tIiw8MIGEXghIDx+Nfs
4u9unfgNQoWFqUMwS0C7w5Th73lF8NsiJEYCb7O4wg/8RzEE4mO7zieDgN6HuzQF6Sp87H5EgxED
/XfdAw9sE22sbM4hvDfRER2zXgMU6p5ClBS7psWDKYYxOgYkcDyHnTk+uBVHQcfLuie4Ud1TzCP/
i2bQx6eOd2eZfHzeoGV73kdjRqiCNmLw5xwy7dQvLhkFd/BoqqvqLW5A0qe+CBuTVPimJhzhu2/x
3zT70H5/XNMWjh5GA0TkKKfeeCXfy29ohoPqUKkkczL6XMoIP/Sg0vA6D9va23iN61+h3qk8LpPn
X45OmD4IeBVfxrmaX33VYe1s5sk+xgXzndxTxUVftCrfUi549z7V87QGme4eoqHsr0RjNzvHbBwa
JmrpKpYMbzn7lLeJNXFKBR5O5l0gScMcOA1tlJoRTwZULwxj6bbgw/CsZ6bUTMg5DaywYdA+ozjf
gnRRJ4JfKpydToXJv7eDfBdTJCcEXCaYjVPHfDKYbdOZ8c8K+nSBi1WypPheU920DoYmI1kccG1t
6/2EPWSdI+NdZTgZSfn2By2B83jJuklIGSitcfpcQalGDIs+6sodsojOz9Q/BUO06LtNQmdWjOYX
yrwb4A+082k3JIVHNjI5SobDMAJQkSVPi+30nsNUKjYZs47nojY9/GW+2W4C7NvbQaFL3mlaruhI
eZRogwYxCT9SeuxBOL/PQtXJtur9QR2WMIWY9JaqP43wVZO1sAcgZaknzB393ChYVVEPFmTlevjR
t04825dobjBex3FqDeRPYJPklOfwtWaGs3e1ZQHrdrASDq772c+mgPREr7rLq3Yk/FLCTFOM8VZO
S94i/OBR7JDztLu2H1z4KZZxMVsBB+XE0rvcTJHpa/3/2Duz7biNLIv+Sv8AvDAPrwnkxGQmR5GU
XrAoSgQCU2AOAF/fG7TdJcsuu+u9/FB2WaRzABAR995z9ol4UoMjDf7yfqFhQy9CDtnVkvlZ5Du9
90pPoz4spb5sg6LuD7MginfXY4mj4sgQtrL90CkJx6bq9mCyDUBbPlBq36B8zlZXo0pXSLLnpN9t
pY83hkQzsxGVV37HeUOHgWLA2qCYqspVKtOIDZHxjrVxvdbNIp69B0pvegoDYh2O21nMXOnBaMmF
qjeNV8kxjBG8JGE2xci5fPTo36oMoxDy9jbbm7pU38AzlAZlNNm+6aYmx10/w0JsxSsapKI+BBWe
nJuuA3y6DItFLLOVjS9r1w9vD4Ct14Xj2EAWwDC1PBWN1r9V8ZAVURv0DQIUMqfEth/aSttK9FZn
uljVHHa61xvbYcSi9zBbEGEP6Jw412txxWlcVm2ZRO1AX+sLQBKk30h1Viz67FT4ylWuH8hQS9kK
+uq6TZWoEepY8rWT2MFWDxi3+qTLIxyQ/B6447oYwgtgziqqm2wZwN0PsgkQrQe8Wrt+tjmNnQdi
og21bZwuXr1advfcCzdDMC5G3v2UMMNrJBFtQqoaa7NDzTTiK9gEzoj1OVU8yNsOY7xG72UavupZ
O+jnTLQOORmx4ixSm7V8BTIROBGcA0KU1qU84JPjNM8Gc9tTN1Aoaf1I09dcnorO0mCb58pagPZN
sRkXBD3btjG/OsOA+fjKH4XO33K6aoQ5g6FMbLQ7xqLGlyqZCtEROeFUr6SOc1af26U7yXZxL01n
8I5RHkptp8DjZavevN43eBduYNLQNXOlMGmVGtmEbTvBlyglD5YAxXjTOgXoPXhH0ol8iBBH1Bgo
eJDhpOV1SesZyCnvgHsX18MRjoY/XuwGtT7GRyceoqprvS/4kxVZcqIl/btIFuSA0ndnfYPX3G83
aeOpzxJ23iV1Z4QmxK/JTezrJIVgGN/mqpNfO6P/ZE3KPY647509HSN1N7iFVUQaWavj3gdFgUTK
F0SLmBIJu+1k8c6A0XxOrTHGb67h9kkL1T6aYB9cUDqD80YcJ5Eco2WkO6ngfpoSDXpBCXdt07s9
YRtKrwdvwZvSNxijpwbdOaK/1jhZEEuPAQNbzANdTFgW+8zCRw7myA4aygYKTc+kJ96hvxqkiZVn
7r1q3lfKIl+bSV3WouOEjOckjk34LQt+V1rd88c++t+D4z8cHBlgmVQn//7g+Kl/TX88OP72C78d
HA0dbrCDLhz5lMHpZ53z/G5iW0UvFFkBNRDjQN2mSPr94IjQZdW3fEyFfz8xeihcdN1aybucNdd4
q//AzvZxIvyh0qPqQtqC5kanECKo9ucKTNLrSOXMwkq4E7iG0Ff1PO/YBmiglkxBMVKt7JsEJAls
+O6bMc9iPwnmQXNTtYe2URQo61Agw4C//QCRpfPs3Ja10YHYkMXEQ485Tum4Yw5l6aJxvte8GSxD
OCByCexPKVK6sj4MJbc0cmOWs41exNpNUNpjeSXbrCVG04Q94r8TfYz986CYrU7jMfEGgyzu2JtI
6sAF2IwP9ciX/KBV0sMSZwNZ2yboRpYT36VtgT1HM6PzsnBe6jUXqjQTzjr2MgMvKG1EM6oQl7gs
033jmQthg4QGP1YlGXhLL60DH0pC2R+0r+hSxKOf2S3sgDLN7ggiYGrcNkcyHwApyHh4ZdKN0LrD
dIQphjxxl8SBMJAjhBMmPYtnVlcZEc4OFp0lVyxLih28OZm/SlGyVZaSJjmClAkx84rn0JL5QZuN
Ae0KRLIs2cV27Zje3gQUPOzHX/Uu9GRigyZsmY9NPhEzrIv2XE+kOXEVSH0xy/H43xXh/wVZ9EB8
/92KcJ/Kb9//59gVr9W3H1cG89df/JcABG0bbRaqRiCGH9aV31YGD20I0009+D9lyA/rAjc8VMZ/
OWF+l38Yv8B1+CAr/odLA8CMnysmlitLt8mzw4cBXPEntUBDj68tAwIwNA9cbDan8iHIYYjB1AnA
kZjOiyrH8YxnFT3mUL8UiaMddcXxSA6kP5RLmkd1Z5ek+pbVbTHoTzRGE3BoRZPtpI2AhEfJOrZw
VWhAat4Ol7YClOddavIYN+Zk3GY0bV8DqzyjdzpbmgLvRV3bQxbgWaUkKcbB39BifB/0QVxKFDZh
49V0ySvZbHTNX6B6cNhH8HWSgX7rGp21CVr1ivh2QgvVbmcbFRv99/eOILSotJJ5C7nm4lnTXmEJ
hHNXvQc56TXGeB9PDuncYtjBAztDL761s/mkJ/wUpAGYUuJ1rnsZSRJZnJ6Bzmi8ITR9aeZuJwvY
EW2ZWs9xYx9E60PU0HHHyW61AmuEjPXWSz4Wrx6skJ2eqHu9zc/rN9CXzKNRtr5n9UpzA2S9swqS
pawSHdiQeOmGrJbHxFL3fjWBH8FzdGyL4I0E1GBvpPYBjtYpR3B9XApm6prq+GJ0neOMuDJT6FlT
zgAxne9Vbb+kVn7Fue+1bTISPJ0LUxp65q7dbW0+kLLFu+znW7vgWs1Wv2uCmnOQvabsUuROHOA2
gNOBFEm+KDMlnoZRDBFUCBW2Ig/6kDmUBOUh0KVr63eZlq+DwWRFn+EH9Yqu/vpatc0PkGtzqzr9
tjdxPKas4D4MPG3UT7UntZB6490q+DHHEOc8n04mF+eAddnlUMgnlOgqMSYj6u7dAl+IpUV5xwuN
gtIrJVL2uiUMS87LU2s38SZ1psdSd6JprlRYpS0aeCleK3gL28Kc3ny5nEYzEWGWtgKtn/ciJv2r
31g3AX6J0FXGbjb7w+JAYEPe+cgE5gDosudGtQ5JyTXSdL8I8x6pOZX+CYhfynLP9aRlZLF1cSdM
S99vGrMkE63Tn6rEeAssBeBqagm4SYorwxsfm3Z4tKfivdTJzIJiDbW+nB6tmNiXXJBxVXBQ3S6u
xnEQSUX48b0blXvhdP8imyrbQacgldn2dv36e3xO0I/kHirLfRFeOx9AYELFM4huNrX6C87nIMRc
M0etFo93FrDLqJiSOJwbm0wVCtxD480jmVXOeOwwPR+nUUOEjlZl2yx1eVNp9Uz+EkrFkqFzaGqF
9dYb3Zd5bN1rw4cRwl0jRWNHLfOrLAoIUY6IolSvsScR52MHpY2Q2U31lFfxUznRno8WuwvWdjty
jjS+2FX+BaLUGDLM3U4c98PFElHdz+22saeU+QQ9YHZgiIRXvuw5YXjNpdDS24rczS304yepYYqB
NeZgtHVekZ+0b1WF+qfSsnRLMiNeYsK36yVwd6Uoh8icZXxr9KQEJBW3/5KZbxJPHIyWkvDYUQ/d
yTR2lie5bjOPwIDnH3GugeKUjh3DCW/YTyY33Zx7L57mXgazUcd4bN811Z5sN/81IeTf8lD+JMGi
1+yh3QP143Ji/LnbLJCwolrI5cEeNQ5iZMLhOJkuwmnOS2y4/9Bn+7kDuXa2AzY0C9cgAfE/Tw4Y
Rg2VO3ukHfOoR3g5iHCzgJVZLOg/bKZ/0dH7uZvIK60dPY8X4/BMN5/d6wfwjPK8ycqIOT6Yff5K
gYzpmeU4g5UeWpSe8sg/6bu/f80/d+55TZ8NnPZqsP79j6+ZWFWQ+jiVD3PvpFunGx8ZWRehZtkH
pZG0tH5eMK+ntmN1+/uX/hM95uPzBqtqkJEferH1+/jh8zITUAtNqerQYbyLMlLqb2e6dOtyccpk
lh/0YHpT3UT3SRHOkRGsRROlWmPVSPjDjZpUy2lImBVRRx8CsMMhNv6t6auTImd5A5CoDil9N43M
zpXbQpEc76cyedKdFDLKZF8GRNBkv8lg7xAx9jlB7hcym5ijv/+kf3ELEaajmwxGDIJ0V+H/jx/U
LESADsOuDqnZ7WzJBC5Ybsulbf7hG13b7j9NudbUHtSCpP/CG/hZcBoow5/4Q+7VAKZzN1HTGCDy
9IJFuHKDLIJ9c+4To7wrxvnW6/XyLl2JyfaSvDcj6/J6VCEKOwdeO50SjfZjoIZHLXAvVjvuU5/l
3kEhgOgegHozmdNL4pjzvkzMetX4QHfX2+6+yqeniTEqrihhX/XCL7EP9AjkK/EeC1L/qrzgKk6+
3FPovMdyefKZvi59x+ZdWwegUAd4liJMyuWD/XzKSc4LzWG5JbvW2tBTMEhT0b60DrHdnsEZ6+8v
2F+sMIiEV6su2l0T6PcfL9jiabKxgc0eFgXTk+PExMqG/t+Fn2Yd/v61OGH/6Zo5OvsUAzyPUcL6
5z88Ba05C9h7cwUlcLzHWHhVyn9aMD+epB9qYpsnDRIqWsz1f/+sIUW5RI6krlcHGYz1rhOTGWJW
ID7LfBOLNe97Gn65aR8CzbyoOEi35JhfaVP8THTmV98ljYEqq0VqkFkH6AJssgGrUz2XZ8Lj3xdX
Ad+PRX4g3G5BF2JB6AQmfV0Idzv69Se/51+7nZ8cSTnFFgZAdsMQFd9q0NQ7szXTjRU05h63Rb/R
TfHuVNyCjcjP45RjJk7mkIYXB1RDcfrFZFwhkQpHvb+XlUmGnrX8mmH+b3cY+y+eWK4FBCdM/joe
e/OPF6Uya5x/c1kdjIJCYaQ2DgUklo0JO/FM4C72cY5bUTH7l5J2PH6OltQTo7zpM+7lOAe2SajM
TsWLQiZAjQ0h8EVltRUBbgddNbqXGHhtOMTOJQUoHKFZAXENPyuiT/+km+pt6fQNIdwPQLM4VTV8
4Fab9nmqP80cxDZ1nNZ7ou4YMKn7xHHX1j/3J8zcFbo6YjXWsMWUcRHsTWd5Cup2PP/9jfsXDwl7
xvqXgb3J/Hn4pZIGTY4aq4MCdsgRB+KX4u3YSBPjOvmHK4JH/s/Pic8uzLKGvHgF8f/xkjS2NQPc
G6pDa3YV9rxORn6cXcXsVIHB9VloT24W4pc3MFn6TZZxAkwK0IocAAcZuzTRcYfT/Gy2gYunBP1V
DyfM/9rl2IdH/6YISjhvwaoRraQVWXX3VmbL/VTMp9JbN2Nus8TKXwmn5ZSqzDBbyNUccMdO0gw5
rm5H+tW7nkv6UV4u9mRFwuEHg1Ubp/X8Rq3GXR0P/aZY+vQ4IZ36KILiaiJUuwduXw3qUfQUkn6e
ELXeUOo5i3ps+wQwp03+ijXSnTVu4USj0+C0ZnhDBNhsjtZ/0Er+DRp0bsh6gIdjt912fYy6ycFy
ox7dZC0gnFzjeUIGWzSclvQ4OyMs9yOv5qdbzXlpModHrI+b68CZ3lDzRwp4JUAycRaQS+j1cBS3
C/slS8d7RdswtKRzQHZ/hTP5asFBtmlBHW/6vriiKMarxM4ikpEbk6fDVf2Z/vGXFIDMVW44l5E8
Icts53AtjBjuCZKyW3mCWnUpevvFRG71D/ux+xePN2cdSAkIJrij9J9OHgVSuwYnXnnovPkNwM89
45cL5wu+PIfHej1/fZTasg+MXR9w0vt45qu0382qUxu4WG8V0qEIt3O2DfIg8sfW8lCjJVCtTb/a
BtMwHwqj0yjQiHanJSe2WFmTNwIFgnPdYq1eEHJu+wV1XsVaHi4egVUaa0zWz0+jxXFLb62aJpsY
wimBm1T4nKwTCkMAPqkluSAJx2wvI8YHXv0GuNV961OSBkNxHofh3nZgssvCnbYMFYjZVMsJGSSB
AyUifENbQPrMb25H5m1b9/ce1cEhF+5lZBOhyBweLVqi62m+937fX//bc/+nnrvBMfCHVfZP0JgH
OfybGBNQL+uv/t5j839x+P/03VykRj+CY3zrF1ROHCg4wKAMoJn+e+/dcn4x6bE7PlJP1zZptf9L
tEFbnr3O4ZH4vZn/H7TgAY78tFYjDmE2YHOk532ghvpprSZYmBlzJiSkFY8BYgCCgy5EJRAxAl7a
EfdrDwzMMv8uEBYCRVNU4qJcFsERUJsftagiuVGF9ex26XwrXbN6GDs3/oLNCrXpYiGR94CgH+p2
BYBCJnFOYi3PyH2WU6im3C2jHmchY0sLyM015/z0khuSehH9rwUoqimabRMIJlIEJXHKywc3JZV9
zKr3rhxQqHnBbO9yrbNvUoZ+tzm5p2Rs0w/Y6o1mXbXxzAiaS1BhPrVSM0Wh0tWbUc7u2YQ2UbOc
EfowlJZ1pRYMLayaerWdimb8rJe8qQiZZf+dVzHQLdgVagpSuWnm+XUjUv7DxfxrRgWDarcNc87P
mDY1RR9G57S3BVxdvgsu+MFBxXbrEjWeIGgV8bfFdViBc9DZz/UCQTnEztk901nvniul5/cAwvBw
YKK5UUNcPdYIMW76jgSm09RMiRPZIIgR66eeD2K+LIwY/lwjOd6ktX835byvhs2DdcqI43KjWyKe
KFQn724h6/aLkfj+bVxwktmwlutGFAdkU0QA7uXOIxmc7cw7TnVZ3+RGE9w64JPS6wxS4qHj+9uN
jKGvC1c0+yVNVwR0AFnrQ4RM4pN8gL/u32nUEVQppKoFs+8A7WFPYo8h8gCVzRHMtnWlEUN4RLwi
b/K2Abe52OW8db3MuLI7pUKIyIPN3mw63QHPbs9nJmPPqkTzVbF/fW4ZRz7X+mwz36D15a4TSCZF
WgmhrE97RLdqDu6mGmg52a3BA3tUcjdZC0KUYGrpMTmgKWjgdaA3AWgA+Uae8uoDc0dFbgTXdW15
yW6YdfAeU1aJQ+w1/XLEhkIxJeJBuzYBVqtQobMg1ACaNPxw2IT9MXVyB8GHqod7hBhOfp2C6bit
fc2wNgadoU+VMdvn9FeWs/UBdiYTbqU8ux/I5wRwBj4H7Tca9Acaev7ARKNbXbU3KzwaggUg6fwD
Ks20bYAwjcXR3yXtB3kasb3WX/UfSOoCwY94NusOMLXDX+2mWgnWXpxoD7MibdLM47NXluNJjBCv
U9DXcQADu/jAYWe/srHNX0nZSal75BHitv7kWOhNxIJpRF/52jF2oJ2+Mrd7Sy+OpKWpJ9GbItKC
VJ6REzXbjj0sG+B2CzB3zK4z0/CRxKTqyXXjxD3weGuPVQL5W7YtBKIBJGqNYAk2uMjwlMAYTEA3
4B77RuqgCT1FF+DrxsEcormfppOG2+ZIKJ0TzUF1Lxf/us+6GOWX0YWBL6crJbJh62FOprWcwmOU
NNw1W/vmLKw0RQxfMF72mC+JOxMmsmRc3RcCSB4IvgHLk6hVD+M8GW2LDGAYBs6yg7xBUX5PnqrJ
SIBSGL0SWn+7WYNhcCD4YHd3QKbDLnOqk17V3fds9i76YsafwUSow4Qi/6FCTXuTjbILQU+g9iHN
7ZYgU2u35peDx0nnve0uF9H48CxQGodp2hW72chJldD4LYN+AGaWVtbA5JfPMvZolRbezVK3517l
MSqOlG4l0Un7JiYZO3M1/dy2sbpxu8LfwMf8yri/2VfC8LcinuMd9oCMkHmnC6UBD2uRHGaKcdTW
/ErjNBekJwxe8mVVXESJQeWTe0QGQAqVHExk+wxVRx30Muk/0e/puTGUtkf1/j60brGfySXY9i20
8dEw4y9W7mDKn9a0K6QrJdZAqozj4FItHKzSdk4VmvkdhgyEJnVCFEmNgvrKJ7AznDTNuxvqNNiL
ha2JuGux7x275K5wF+8ydw2wQeDUItv6jejvg66Jn4IGC43llDFhgUMKgclvvlYyl9QmkAVeaoj7
aC4opmNh+ruy64O9JODuc429/zloE23bj+R4SVUtl8o35WluFFpejDh3Fn9w7txJu6GUfvLwt+mh
EcDjJBnevbSwXYignPrcuHKmLLkO8tIP6JE5DdkeYvDC3OTUuGlcsUS2QpznYF0IR9OwLhZopM1S
plO70WoIzB7KpL1Xe/mV1iYol+pk2DTaoD2hW++eueOqJhKDqk+61d67cSbvaPbrFyuDXOADHUJL
yG1gq50+mV04rUMbk3AClPm2hm3Sy75bTNG+D2VLH45YFubxfazIN7VdkpRok1hhNjeQJh1hfJIw
EO/TICd30h+SbR00mKdj84sWDO9CVMkLOgcoMzPog852PlW2o5H/0OWhaeU4qwyo98vcxJ+S1t7T
YP0Su8ObbzbOfpF2T2rUgo5UzC/zOAdRX0gz8rz2tSlB+YyWfsxJKd22hll/T8j6I+xJQ94Pe/8w
IseXobnMNgOK2LjFo9pu807ld5XhXqoEJRYtvmFb9iY+PJPBeB+qtFX1tjPK5ZLMfbyty+4bobeP
jCE4SnG+oBtjMLwYSTEgsyhiuggUj1R7ULROsx5mGj/sqeo2E7vcNq1i8Wrm+aNmuszPVKN/SU0P
IrTwve84su6H0XiHsLXxW4GhU/M+V+Ato8bBnTPluncVzPFyXeuDTUowoKqEWmAJhivoqTFrZ11v
R6BckZ+MhPdOc3m0xhrEJ8r5zDU+CTXn1wX3/AYsqbEzEDWQWdyjstSzfTsW9ZXspwd7SbudsaQV
k82VMpYt3wg/scPeGuQDbXu8Hd3Cdx2X1kw/hcRObGs98S9duSNjEyeG5r/FiflC8kr8WW8c6wb9
MSkCvnPXGD33lfNWmqVxJFKLQRuhsCfyTj8cB9+9UoWcC77R9WzSiKTUOiSSVR38GglDZ9f2VuAT
2oy+m+45sXj3WFySCAVUttM5Pd6YlRfftoRKtlx0spOJKdIv6dzZIfhwblEmeJi/JzOCeoz9qs4+
4S51maqiXqiVcKCVmJW8H1LMjBmloEeCp+PiFbbZ0q+1pnOjzl2eemKZ1sNmY1Q3KMeS0FbBKkF5
R3lxYICGKVPTb2LV3SyFwGrUdwQzeQCDyi/MRSuktNOj6obb2uhveq06c1qD+e4udNp65CHkgGKy
ARBGIDWPueMXxIk6lnAYVXm2c40U1r92ywaAKIo2c0YeuKHNtdyabZX/2sb5b+H3T4Uf5RuV2L8X
Wz1+n167HzUV1q+/8Vu9F1i/OPoaMWkE8L+9P6itdPcX11qhD0ingC+ssRe/qSqIrcQKwh+R/MDw
ipnS/1V8pvMLhHFwlDZgITrdgIn+g4rPQNz/x5KPnpxD4kbg4fxfa09zHTT90MbmedFGmH24jNEV
P4+a7W26Yn7zJ7O4LIbWbFPNYNmiuX3vKf9MJAGi2TFrHmqpPRAr0l0NM7OflTd6Bt6mHefYcuP9
KLP0dqga7RUrDcg5V+oNft6YCTSa/KS7JSF6tu5sW+RmCWqsMLwjIei+eWEkrstPHTlDmGa1fJHW
vs5h6Zz9uiVGKtQhy5DZnAdjX9qbOM4zmzCXRGeRr1XbNp8KnyAsmppkpxlXaTC5oMTNOOi3Xqrb
3S4tbLO+6u1EFKyHgLV1fTMRXkP+G21D48qTs/lkz0kHtGFhnuqwcMeTv6cxRcg3ZDEHFl5O8z97
jGdNg8tgeEicIgzY8jWrYv9b4mak1JGDSNTEtk2lPqKGIIdGf6Cygize8xa6fU738eTr1tKFA8yy
U5wZ7Giq5zHejei5x+0imbJFvswOxMfjba8E9MWisnrIdpO/VRA+P8+jY5PzTMaG6MRDgtCZizVk
54YF7JCZ6imTwtpnvco2Rhkkh1wlKMebMkmfxSQoPedRHLGCnqXdnlLcnM9dUlYh5KVbq5xSEhnG
gOo4cd/6KVa4VtVnEpAoD1Ad55N1TKb8aRp7su0DI7vyfftrIkBfWnE+PCz+0G0Q85V76iNS2yq5
xjeoPYZwb+eb1d4MgvtxEU9uYb6TD9uflk7SAM+Ty5I2XlgO/WdZdlflKKtD3iOOJpoimpbS3HRz
7Z7qWjeII1tu06SURJ3nTzV5XaCsNLnNy/G7Kyr3XLpLfKsCCYhCR9AcDGuf3YqjnNV1b482h2WI
c2ZmudE4jlOYkJ/KQo46Nh6K9uz3ytyuYNqjJ4WAlbk4G3x0abh0jf9VDOa4L0dHfPXTZrqaaEls
68bR7pN6tjdVlnxHtS5vHI3c515MD1U5F3voLoKttxaHKl+jVgX6P5Tj5KlUDvw4sK1H1oV017Zm
sAOhz66VasF+dNV3AtLLI4WsjGLWjg2tZgG1cRJfpbUeCZ2qJMoekECgl10kpQXpsIIG6iwa/mx9
LOAjdgSAmtOj4VT6pi3yJ62Ij8sCB6Ds6EE7vfbszLG+sfIpu0ob1E0aIph3a3DaL2D62Dtp0efK
hiM+Nu7qKtXz63LMh5OLYRkgQ+s3kWUvGvocl5HviO2OEHvP19HBZyN7Gw5yDVSfPtzTQcEdXth5
fYsqtaxWcJi41KgHdhx4/W3sYesANDhkj51b9mFPIFGyJ+zcpN0O2CpE+cOrcWMRNEN3/20oGjzA
8TjeIjMwQBNwWyTBWGAYmKb5W1OzqG4Tz56vhl5UjOvVrIJ9z60FmXR29SmE+uOsRhfVvxukhgoq
9pi+1zQM6TuIdDJN8R83FGN6U6sL447uM2JU1POb1E4xMo2lfkqroESy5ddh2mjmHnoBnyyn4ztn
7p6kS1aJieGC1KkZHGqDlXm4uuwaaxsHCxboBHyC6S8vEwawJ9Kqp0uRaYA082dzETpQiFziOKWS
1xr7kulmHrUF4JNKE9/izm8jYdbiqWwzpNqYicSZHv1oYB9frIhRFzOIMv7UFGbuAxCwaGrYhbwy
gh6liDVej/TQ7lHiaQ8YUr1XE9N2lOSAfZcyaDN0XimPMSJRc0uEPEGKxayf3Rjoch/3VH1931+K
LpVIWATGIE2f9+361DLOd8mCIz8wbvAxa02RYhsfb4uUBruYu4My9BRKIn119pKFRK/Yre4QlH+u
BoYU6G+Dt9bs7rzJTtWmy/ELWX7/4s4ZEyFd17amNR7twvCjnJYQ9haAjAyocepnWq+dZgwzuH0H
Axsx+CZkwrgI8A+jXDVYD/z5IpSf3yyaPp5nEWQMmAaQBdVkbqYO++3omR8Mk2SPZGva6MoEkpJl
w6Y22j0YGWasVn/GI+yh+plnhGaUQjqciWOf287GVa2zAZ9zP/gLkWI+LUGJBZieiwzQaU17bW6C
I0CJmMp60ukiBuXbXEsYfqtHeDA0cKVdTgRdiX5vgyCkewxEBiTZZ4LU2EUQgX45kolA1pFWv0+N
9wlChtwuyAB2eleT9DsTiaHZSI3Sakp3A3qtKy1vvlEHnzluDicDcvNmUWvVaXrVDUNp/RrHldxW
+pztlOh1JMWOe9Acj2yDGj8YzH4R+gn+ec3nMw95BnKhzFnvGvfLslA9VYhm4Kr0X0yZ5yenjoF2
EycA3QTPRD1nxjX3AOwYYaehyvN3bA/BbqqXLxhP8cos1NWoPZ34DKkuppeSsfSTzfoV+bMKdXgU
t3FuxmFKL+cCsHlkczfrjasneC6cdyrO73Yvil3hcGAYJ/u5bAd8ZHkHy8LnP7W0NgHblN7v7WAz
5esQXtosoqCBVHoL2zS7C0xZH3XfXK6h+fA1ePmXoYzRPY88XaxS4zPAcTaM3noQwq3Qp9N8yiZU
lYMriq+YwkyMa7M8Dnbp7rLRm8Mq0KodE7Xymtms2vbzYoejNX/t0nhmBup6GxXwHhSRlFudovkJ
dspymwNc5AtdoDlsUm+YKr6wmrc/9nn2mcc+72nqVP5j4zn8rqXPD9j9jiRQqJDJVXI3dIW6dfo4
++xl7gN+ZBXKIrnYpuwO4G8SCxFbVqMkivmi6e3an+hSqnByqC3m3t/aS+yaK7A6WeMlkIEvzRqy
4I40wBNp0nybKlpsXOeNiTj9ZjSW/qAvk3fwJsf/ovJO/4yb6C2r4/5m0S2NNJUxHQ9Z3VtY6t2R
Jng2VaysdT9unHRGNDgG9LMdhztCL+8bP3DuEVJ1esiqqXHEMGszxAlQvHet5dvrg5pwTdFnrYGI
rbuva8PhkalowR8ocsn1IIHWjebEekD4OYToaK6xSWQvHciwryRcXBWKoEEUTWkSNon1DZCHQxtO
mG8GdOUyXGCL5QQfDtOxVhIZkMjTDFilM09veuEXUS2H7mFRqO9jFs8zeINiT9jN7eJWp5gS0YMb
YMrpwBQv43Z2R+9bTGJEmJqdB1zAEc9O3dpnYxBO1Jaq2DqCUWIt64VmTkNPWfaWvG8tGxX/zFdx
mXKTqFg9luAZ+nog8LH1+zJicDDfVL4o9sS8ZrvYU/0OdwdOBN4XqhFX22eYiMo9UgDxzGqWP7PF
DS+FmvSHPOvjg04o4lF3FCfeuHGvmmoEqi4QFuVkLariKTEFGrdRm7HzLWl7hQKFByLVsRrVogiu
zKYdw7ScjHwz2VUNsSDRt4vetXf9MvXPur8M32CCjAe/k8FJZll/Yydp+0laTpvz/Elwo1bjRnnp
YDnndIUUAvi4zCgfOvWYGKywIXUSoPglqC0EFEU9j1uR8TycAt8uy60fF+4nFfuL+5KQBb1Eoz+x
s/qDHfAggunER0ZSwtbObffiwi35PHqK4FDCSh+KpQJS1aWVdi6qSXyOS6fakdIJnbxcpoKOfwU0
xs8Sf2OT++5jcFLlsx5P8d3Ijx6mkuUVyfoDFtyKQ1gzfK3KSkZa6qF97Zfk1FYcSYtqbOBRlGP5
yKAaNY3umXsFE+o6k6TgzmWfRjJpirDWloIRTFs7OwXm6I5hWNtGzsIgJ2NQvR0zY7guq2XY2GZW
HWBrJbcmBKf53veyVt5MCcnqUZBMeuNircEczmGhpEU6rx6uwWQQ8I3jpqBRRz5bo+wHIkrdHIjL
MEvfa7tDFqTQpBV5KsupmGwt/F/2zmw5bmPLor/SPwBHJma81sSaOBRJUaReEJQoJWYk5uHre6Fs
R7d0u+Xofr5xI3RtS2JVoYDMk+fsvbbbJHKbzbqoYaxGrKPoD4mtaVxr30Yw0OHMo1GdB0VCd53y
LH4FBBhuhJGE6hz3S5IPt3CdoPtTw8Y1CZPB/esNrD4A+M99a+DEwef7OFYECOcYMm9mx402fTsZ
R3qr+lBzT2661orPOgHFH5qd9yOvS/ubKJaGeR3Trr4Zc/3cpEEYv2Fj6NY5Nky6jO4imZvnJRPH
97+TxKz2LuE2pMYy8VlXce29zMkgtrHL6rwNmizdNWYzvwsK69MA4m6VcT4uPS1uSn4sCPSqvWgd
69dotPPHYZDOcdbxsDZzW28cGGRAcaLc2qoU9QpUd6qDarFCprivayC0d7Zd5RvibuxPDVXklslF
sMZNmGwVex3FeTVtR7Nut13mHej19puSg/tjq+JgV6fCfHfs0d4Tz6BXIaOzVUbS/cqLy+gmVla/
qcuFZBTnLl9vEw1fs8DobzLTvrfGKPgQRX3f806wHwiTsYA57SuZVZRSnTqjd/bB16CnZZjkVjsd
jM62YiSBLhn08EomMRLyMCdgPWMbD0cj/dJQ06+WIOm9EYfWxiCzc10MbuEzVqMLZghjwihqWbsy
tFHqB55x31rz9KiHaN8xqrwdyZ5keFfAklWDkW3hdUfftXbt2zCMYxbaSpEWipk6bVj4O50w2QDJ
PtegBWvU7Ww6w3SJWhHc9aPC/kirc5+6MXEFGUNS0ZTlMRbywfcxVTYNBEwAO+q98ZgKF+WEakMz
sbxLjaom7I8IXJmF9irJAutNYZLBRbaA33KAhm+Gbt4qy0tRXPs3tjNKQXZT/yFGNlYfu8dhyvH9
Sg6eJJw7LTlnhcoY6TAbSjyF33/O3omUi7Y939YKRMwrKNBTpOBTzhUm5+y1SfrlfutEuSXZAC/1
aFlbyNPmCoEqSRJx47ynzQihnwSINTWzJBsZeHsGG509T9ljdS7dpOBuabwbKVJvbdZ2fM6USh/o
Pwix6eyx87c9zIO7pqXehplobqql/TP6jT4EVZVt8eLOe2b/4vtQcERL2qTf53bbbQajMi9J69ER
0PW3Nhrbo5djxRXY/o9MUzZRNGmQZS5GO4R4R4aj/WVOI0XgevWV8xql2FSgFrLnJD8Une6hQyMa
/sxwAcN+P9xaqAVeKKWeY6Oq1l7deqfIRZpQjTOFYxmBOgCAv4o6o94UffclkBU+mckinsR8KQyW
vKS3oda5UBqhHPqfoxFWEGHoDLiF36NQDZ3nuUzhs82peSqm6BwbxVurvWY/NdFT7cofFivpbpio
jgqlsauXJqxGYPpWX9gfDaHGeOGQQ2sjfxkhc/zQOjfmnSp8twV+PVB8jzChVrObP/pTS4pCqRI4
iNoPv/SiY+Ix9j1Og2AaHispZ0Zmfsg0hwbEsHMaBJgU/7TL7Wx0btLOCh4LFiz0hJZTQofuQ69j
XBC1Bk9CvnVFWh9pg6+GOQZcMKlww1elvdsUjdh979oU1jI1Flt+GsuVS6olUdo+wqct4Xv6DpeY
f+Af+C2w1D9MZT7aScni4cfgHbVIj5PD5grp4FuY6o4wFCMlCctdJhIeRConG49z7JGpLuRLzZaE
9bjVq85ceoG6oKUddB5EKXdB6JFtH8bSWfSONmHrJkuCO9ZwBZOy23t99UX58xF9NEkXsWayo4zb
MGD2Omegl5LKO2rZtzvS/rytl7rZUTu0/6pANGvI+9WaytRch3ZFZF9/AVX3IfKYOz6cHIb+xaWy
l/C5fPIOhZ2aQJna6IazCw3EOTfuB9P+HEu7ObWhAcq7dhE3ZxaRDUKrbVzmEnAPh7Pa6Ro4vUrQ
uWhLUm8J20aQe+kMQRsuHGIgkdOXVDFzNtvJ2nn4MBGMWV9Dp5dPg++k6NqZuyOEL4fvTuP1T6x9
5sp1HWAEouqOdUUzSshkLUPDvs2IgaDPEsfmthZpug/c4tZus2YdzpaNMyQeAmbaCMYZN4goPS5R
NRLQFdnuk36HK16+LUr0JW9nnr+lJs7XtZxS47108/reE5mxT9jw6hXs+3Hvp0l99khXWGPvSKIN
zARGK7baWvk0faXO4tFSOn+Pmazcl4MV3s5t1H0zYvcH0oNJA+E0mmNFG/oyj3ZIprw3FGsdi+GT
Pzrdg2lG9ny36MqBdHp5eUMXNAdv2FqarAvsLrKMiUR303jcaDRH9RqJgd7FDLA5L4TGnUTV268d
NoM9EPTnSTmfqBCcp4pUIIgkU7vnOUBIUjdM6QL/ZfDJXwEqYj4pwXCpiXDkyiZ8z0ecUGTA+2vp
mcgUsoXTdRpMippzxph+VbV9dKKGaMedcusSu13sdke7YP1Zua3QCfEpCGppEmUkwNMLo6bJYZkV
HG4o74ZSk6vulvVLre3qRGC930Pu9AJ4AYIe36QTPE2sC3BeCVS5YxYlnnt+gLvxifH73CEHX/EY
hzSNaFBjHi6m5tbqdHf2uHuqtdBDiwyziM+z1rresGEFEDI6RcU0oX6WZgsArW6XSohV5o1kcu+L
XUc+j3aXtHvtR+DSjLGiaPUBzq+UkfVYK6zxyek0YVCFYFK24hjm800YwUt2FV5EKoGAokKi9eip
TY9TigB8bfGgbedqnAiLajh4jyZbNCVorje9pX8MlNdbRgSXyaCsnxsXaB5yqY2jOyKi4rC6jKo3
PycJFTiwCBbsuXbkQ1OVpM8jx/IfG6dmP2UtKx+y2eg/G3bcHa2ooi9DIqp/W09G+xlurLgTZGDe
mBpdNIfXxro02HkeAyPk+FLLMDgZRmR+nUgWO7aN3z+Z5iLRHc2OpxS/ch1hWPYLk5oxQqhC3hMP
5YA3cEMWAlo1q0Z9fEeHH4woigQrw/xjTs6udQeHbzpPtmFbq4RUg+aBTAbIFu6kza1FG+pZEIB0
TGyWyiKLph+ZzuVbKBsKtdltEXzSYEJpjuBtpZK4+ty5TrkbDHZd4hPYzLilNhx24q1QTXKjDXQn
gATzUx2O3qEfRLvVZA2dtSxAJab4Js4lgutPgGNa2BgjyDcUTvbare2Q5aQ1Ljqt9B1Cf3+fR1Jt
m37WN7gf7bWlCcwC0IwM2MeX8kr31mATG/SzoL4712U17LqW6p92pkeXxogekXT0az9QPU17MoGU
bvLbrg2+Gb2UWxancO9GTksGxCxvMTjA4U2wBcSVdSgj6T/gIgU3Ozn90TU8BPkuCTA27BlumsBb
02+ujw3snFtIHemZGI+vONWJnQoxWyX+9K6mPFqbNtC00E9oK8owp1dWTy9GTGKsV8toq7HWbw1u
9JsIhvG6ryfzkDYgltdlWkwmjTZS7axRbvAHeavWQV5uiLl+izF+kHkdzfupHvFIeJIxru+V9IFl
kJFP5Jh99jg6EXleEZtN4ixCknTu07PhVZvBYXxDj1VSaZTRTiLPWQXwbYlE4L+L8NJY43Q/kKm9
Mvv0JWjMV0uxWDtGsY2Rs2/olLwHRe2uAsXAYwDjCOCWsAvIqOXOlCkmMBvIoEogPcNHKW3HQV4s
ZohD870VxdYqS6rPuiGvy1XdPjTMPYVVe9MDIfpijIxBTMt4tQQEIzFTIY/I1m80XJQVUo73PEiq
y9BVF9R22bQSpc/WLpeDYJQZ9z6gkDX6h+hQFcI84/X7sA2vuy3NgmAI1n8skDPCchsrKMCiDvbB
eO61HjELV/9mhPyZR/lPY2s279/GQXx+R5+JlqUsfppd//nX/ppdS+n+gUWEVqCDwZFeClPov0kh
pv2HZzG9ZnT9X0JlG7KIoC+MQ99xMd8sTLq/YQAOumcHv4lFDjJcH97d/2Fs/bMNwPYJrmelXlJ5
mFmb0Ad+nlnP5Vx1RtMxUOgzNEgFgr9LjS3EXSGca778t3n+P7o7ry+GU2axdQY2LqxfLUXKGe3M
i1r7EhmTfivs0nye2j54wTjCA+iaAv8huQ7vQZ/U+//HS6PCFks0g8tF/flzxkYqx5b+wmUmN+et
QOsWbPtpADbtda58tljuGIWKGvIt7n2EcL9/+Z+NQssnRxVgYqWDYMYX9+vLm1asiiDJrEuWL5Eb
vtFD/RRtN+tjXC4vN+YoUH7/mubPdqG/XpRbxaYf6ULV/tXBpYFuKR2YFyjF5nMBW/tgMsOtdh7T
4pcrkdmOLV68k13d3IDtbD9cjcIvM1yuQwXv6UZ7Khn3DRq4cDvP0IyJaeAgQK0t5KnXIa29eF5E
lKCxc8pZZurW+vefg2fjv7kD//wYrrXo8nGPCqg2P391/uBb3ehF5kV2VElph61zzLp0JIF6lM/w
AsrTuGDEf/+qP7uC/3pV/G8u81ReOPjlhkHA6SWjU8tLsvCq6c/EdHiL6IdIRsqsJc/DsbW8Y4KD
COBKef396//rg+lZ0uck7IIKQX7wy5cHwKpIgb3Iy5+xAssDw0EPpH9fybvfv9QvvrLrZ7VkwJPl
C17wXzyz4eS1hRCdvNhxQGIC1XxK2iTTe6ZLVvMxpjYp38Jdnk4BC1t7Aw+LkXhYt1J6fL9/N//T
BwdQwmoJv4c56S8f3LSNMqhEKC5dW/GQ2B5K+jO1tuhh4KXB/+Mh8Vj2eC75n/cv3lOpExEbVm9e
wEH7G9oVEOKv2QjXpAxGvzZtiabkgBFzlweQp+/yPhgXJRnicFp2c3kyXEj0imGs2tI/RBWd9pC1
W8xDUdRDzC+mhKeMsnccjkEkUIb+/pJd7f7/ZW69foEe9FJbILFC+verMTDJVNj5yEYuYZgQMjJ7
gL6v983Y5vqtrrGFZ0Cg3vCUBucr91vFCOnWzRRUezysYMXi1AZdPg8z3RcJHf/jmqbx+/f5P6yC
i24LwRVABIA2vzzJBqeA3mVMfMEAwQW5XmapQeJKEnufwZP/05297KA/rR2ucLir2XOxvyAO+/UV
81aZCbGWzWWAz35y2tx5D2m68osF9b0TFmFjlktvPoxDGMGiT1BpDgx4n2LwiXplFVP7YZU9d7pg
BRAGD0Fs2T61GPfE9RI17BouaSeY2JreQ6wMxvVswMQ+ELAr7xYJ+z8YQfkEv34sPgnfs8Wda+Jx
+hUJO/tpQFb8pC7lYpsL9DTXm8QzkvvKyjihF0wDh3Xi9Ux+TAeI/jru8zDaBZGil4gL2hLraSSW
00xM5uJ56+16AlzbfeQ2nQR4oOj3GaHDAA9RFYNwEQ0GHG3k5hvhlSU0TTUtgPHAi5oNXF2ejKQZ
yAzNI1cjEGZ+Zfu6uHRFG538Jk/OZu6Xd32CyQMVVo0/FgqI8SonL4VvOWXfRNrIDbolzofmNM+a
99dHHxP+PPfYTlGxiVv276MIHHz8lZXoByizZMDQc4eCYJcNoHYPut8K+LyhX7oiI9TDCj3vKcA4
LLArqtTFINhXJB84quaU4BKMsnZb0/+KIZFuZpE3bUoi29yicus6uz6YGDuMQwiA9myqjuGZ7sMj
MNwAX0cvmXravaov+OElDW2nLRyGumbKWDxSWj94Ks9oeQd2FG78BPaawsrzolPuEQ/FlIKniFKu
wpCotpQGwdaTLUawvHScd+QxlAmFz2pDCchC3C+BK0088dcmrwHBH1r0V8BWZDTtZZJ5ZzrEacfO
LDnvaeYdnfD00VJQZW5dq6zOxghidKemMo9o2MSjf0C3F90R69N+85FPoe8BOH8jYpCDwJkUanob
ECpYFnhy+m0QYn6VjQ9giOEf9EWfU35blnSgqubGIzVixwmw/JIHjfNaWoaDyl5HH9wo43fVhQky
80gVG9Hx9ayjsC1uaqUdXJhev+bGyoVFaEsxjshVgDCuwLp82BU9eOKClX42HCJWT33hNzgTigKf
8rNH5p4IuAEAJ3mb3MsJMwPOYntLQwpCfmjy/6gCTJy8qR0b8HTwRU244vxUBvrViHrX4u2mCaet
qZpyf0d+F8XPDBGd2TtXuljIRkLhJmS1N+z3yh88a8v0Hz19TmDip9Fo+MamsGVTmCZonr23xEtw
AI1v4om7chX5ks3ULip+BtMOsMx1wzfrypkvFf2VsRai9jdDMHB7FYrxQ5P2LNmxjc7A8+d2PU9E
+oTOgOUpFtSrZN6wGuXEEV0DxQbTbD4a4khwHBBlYNisQ56dg+2rwfMAfI0af00cIz8eOwFvjhMH
CVCeCl+6hTGfTnl5IvrQfK5ggvCHyiw4t23P+sxyhsokswPAq1K2/BeFCYSg5ZjCx0QpFCMR4DS+
8x0uTm2yU5PIY/EnavyCd/SjWGIQWfhnfBrkEHnl+Gg6Lps6RkXinpY1khrOP4cOm6iXVDWDKL/5
qILlUgZLxFLTdAsjdXm3ORO0hEGDPT6UlJ0EODvx9AAUlH9MM9rw9wUzO8hYvbwDzyNx8VIZTuaw
uGAQKgHXnB67mOOGlSUm1kqT7bklVXpzDaGZTK69JG8XewjPb4L4v28+kKiOj3i8mw8aGjQtVUL1
KdKesKkMjhRgmeZDL7EaVaCqtyTF6rge42Z6vBYKM9G9hEIvOHpzpL5PmoyvtuLNjKaffNhW5nEt
lhCakuy4O9C9zILLUNw1yAnLM7cR3525vFvIZ2w8TVnvr0lVIhEU4SVGwa0jU/2GvpLdfEpxXW5D
M6BKb2ZMoX0J3ekAe593jg6WCqqEOjieK6Nm5HYtcJiWBNt0TtqPPw8/Vzj9lARLFIYzkZpuo2wi
cQfKtn07OJN/jpBRwji2SBhh2+ENanNM5tWSWprg5pDhV4ymvHhxfYQkMcPjrh/rpQxi52k39XDx
7YHYq6DhO9KhT3HHvwaoRestzhXWtnI5qmBujG/kJCkMUFsfXL7pO8yh3oGPU56QrbiPKE8QSxlR
xrtFJFfvh4EdF3UrdTky6DuB1ATtExyzeoteaHyw/WTqbvWgjIieHCQsIAoFdy0sMt/aQs7jzcDw
BeTK1JVfpR8gyY295yQlXHnbVoJMFzPgHmFE6rxH+cA1xcnJ578uAjBdxscpLrgqWRoHZ3dyrEMF
+eak3eXl86H113gRKcdQ1b0lDA9OgeJbpdyv9uDL+VZxfPkb1JfLdRgIawuWEDLCLMaHcVLuO6IU
nldwNvnWjBGjbhSRPee6bngn1zsRN6VksB6zBDiSGn0rkTRa1LQVUvEAYPBw8MvlC0oqOFs7swyr
fV7LADfhPNLh5jjaYOdpKYpMf3EBm4PKn4jtct6tJJHPpuFzBqBvxdaEle95sJZoB8tcTLys8ySC
ofrTb67SPOiVHIh0Wz4hOxE1coOeG0Q5gIPrgXcmGultlhaPqOKIGrN0i9XAkfa5q/iPdPP5Wtql
SpsBkxMgsUQnXLfNaRbcUToDNWj5EZ99Jmb8XJi+gXPQzDf1khF0vWq17sdgkwwSTnK9vJ3I5VOk
cWi/axQPFmg4sNVZWoyPYp6QM3vWbO3QeGGedBrFchQT10H3cwlsiJoa0nbELQ9LDPDoYxSHBEoO
vVcB+nYYFzqwB5zHsR4YrRSIe5cgN+G827iVYsRgYfBSjIJja9bZxLqV6KsD0pYylNkufzvrIrN6
ksBPuEXClAsN8E7eYatc1r7RJPW+VJJFnlJELUdyJlUz4iDuiesF+HMtWg7u/RKed11Ya+Wx41zv
XaYKbGuk6tb70Yunr5hZw8v1/rSZ295gHoU5WlR2eut1PreIL4DfkTzWHyM11f5fNwT6HP+H9pA5
rPOahCQjKUDqXcMKCQgAZsdd4RI7DOQFQ96di1f5RlYFyZ/O0m1ImwVg7RaFBKbmFKxEgAKNtVeZ
NCFAypDTEy8fyBhy7j7GUUAW7YHfmyiE6g3rvbyTNh+BW04+OxE+xo3MFE+WF1bsMB7m/12puWmI
IWG1t2J570B+vXBS56YWhmSU3+JvQNvD82WnbZpvsHRysZlMLtt3m3CVLPQzNIPYgFDkK2sa1nRt
WRTIAe7DXWX4BFgV1xyppIMPsbWqiddFrT4+/pnFpzmqvQRLmJVy6C0j/+mZKAym3RobILMjGhFq
ofmph0c97tuuL6J72SQwyguW0TskrLwLx2+5HhgBuNuFDOf6uXU6ihBlpMGLGPSSzIaGYcejMjzY
DIWfOn/M703L+RYZIWlbTGn3wLkRwi5hJEOqkh8K/ePKW2h1Frr+dN2XFg/wyPZItB870hQzYm9p
eQZUKJP7kiYT1znWfKGlg2PkxugSaycKQN8rVeFUAw6eH2Ktk1vLbqRcs2vmB072476gl40HS+sC
3Sn57cGYUS+45shiSJG5gNZNFJHj2LTiWC2L/xFNE43IIIqoqTobHKKZFdnBKE26MHTZSG/JiMR4
UgmTpXWda36tAslFspx5fKADCG3Uwi9qwe/MVlVPjZMvJV0V+eNjqvD9ZfTg190COb4elFOCmE6D
FfCoBlFVhEBHeHvh7NFsQrJKalo48E7H62YSRqzb8IDLFAfBEqOTBpr4yWUPl8ixXkKAPAr1wLLY
CViCkOMSzZLXsqaV7uiFJ/ppSxBYSfZPoOzDoAN5p0YnIFyqbT4wUxKAaGHi5wzG91q4Jvsns1Hu
1lyxWs1oKJ97Xnl9XTeDJGVxJAjX2l7ZzWa21Js6DPxzXiMb24Sa9tUw2votRcC6KlvWvbriEWrJ
OcNoj4iEaK6duzhtVvOMVm7N2S7am0xcvtu9KxrExh1PXGugknFS2AQg8pcKo8JhaLAz58gaCF71
ZuEdOLCN7YKUQUGBgeGmbJtuh0sIjbfftM67SGf5jI+Blp0TsCrR5+GSeAnRp/iPTE4SucvG4vaT
+xzRsUYa61kHjRTorp7VshxcS2YH8AMpZSOq+yIXO5Xmnr91p9bc8crRc1R34ye4kfM5QuzxCTFn
uml4QlidOe3MOzbERTLh5ki0JlsbD6Q/wcwgn7fwt1ZtjXtTOca3TlvORxJ083fkPT22mrF5GcyB
zFbqKvNE6p84S4qym4zmyutiCiMnNAwZV1dwOXG8k1Z7dKwxvgM6S1hd4safc92qJ5caf1x3eQYB
unHEDQiH6S6wdPgpMrz0W1lN/CRcJXFDpVwE6mEuDE6sGQhZuUhtMQ/UQe++Xbsz/zYm/tOEh8EC
DZb/3Zj4+XvT/sdLXKu4iN9/GvL8+Tf/GvJ43h84hdwlEUg60OAtfuhfQx7f/MN1cCYy9bjOWkz6
VH9jnwXWRaZ/ng/H+OfUb8v7AyAlaVJ4FBbrohv8XyY9xIv/1DXC6Gi5YOdtB9YkdhfiAH9upKvJ
HjKMVBFYV687lX5BKVMgVz1Z5P4h0GgpfJFDycdGGqspVySFYmzbZEIO+zSqkZmHENt2dRvUT/QS
EFhZGWWj32ZYORhgW3EXlKdydKpdh8koBRsYOQfGKV6965IunNecEwcmrb5DGoedOvjEgilFpZCP
FL8c7P0UD2A94QFRua8+4VQG1NE7dbgO3OQ1GIYX2WQhCuWwmT7NbU+rdsimXdwbYtMSl3FRQymP
jOrAx4zYnHHSLKKL2QirR2eq4jN/BdoF5sf+BtPlJQ510myiMRn2tVWVt/MwFYjfLfF5ruv+lKD9
fw41IqOpbqIHcj0gxwbz8skz9FBbpinxJqb7sgPSCiEwGqb8SUXI7E1r1Ouk4bdRHMkT+9MnAAgY
V/y2v/XtCQNN1q6NSpQbBXSEVIfYbp9SnXgP+DOsS2hbAgUwWgK5K6du0WT7xkxyXhiAru3trcmy
jvShypAFcwmtprXXdhnk4Pk8bxWOFgKXVO9pS9INIFJQdtE92q+e7XQSdrbx+ggAojMgPSWSwj63
BlUN6moUdr47t3jR230wFO0nu5kSSLnxLLdGb9ZoTSe8cHVTOHwfTneefXPfJuINgoiDvxyfTRq2
L2ExiWMw1J+mdLJh1IjiS43g+Sgj7a3yyY82YCvRLbTOJkuUemzswio2tE+zWz/JgfkWEZ79IMsj
b6Xz0r1XXeNi3DDCRffdv4V1aF6Iv0y2jnLH8zTr760J5xuz0exuwypmzSSq9ziyr9SJa61hv45A
dTD1Z9INN11hhBdpta8KiP6a1J70gPM7VKehFVl/GTmyVO+1Us0XMVQwFkCcXNxcOyeAY9ZT6sIV
JEOlOxPcUbnrts+5ZIPO61vIL1/Ybbs7A03P1hzEd/LJv0AFhCKCmr069IndITa1xD0AEdls8nry
33xag8+zsXjkSQLculWYQb6j45Hvhd052A7cssjWWTEMXyI1l2IjiTwHo4CBHv9uUssVqb3m1vFa
GO7Q3MSlL2fg1CISZ13RSV6PckJQr82HwZFvcxO8iZowdLrM29pDRoTsLaZbY3tRVd8gGDVvhDLd
z07oP6tQfxccD2CyeJne1kyRqCipq+4x39K0CvyFoe2aEFdZO/gJhFIhY79rqvjku8FwGCWtVW5m
O2LTU+Sw3jZBg/3QDwE4r7tav+WxobvHup083lKzS4wufOhhS6zqKtW3ZCz1m4agzV0nEHbZFnGX
CECqi0k4U77vQpkHa7+bklNqiQREVKMxRhH249w2jhVuPQtZKydeua10i/bFQ2Uotet/tut8clbt
fCqEZ+xV20Q3qc/2jj3H2Dkh5W0gpmFX2AmtrzFLX0cHQkMOeuXkxx5dPUzEywiUYgeZ9iqtE+dC
UxrfhosI1R3AM/l9aq+TKq+OSYrapOw6fdODOF33Mle3Qw+yat0l88z0QzgHp/Xr2xEj+csAhKHL
YMmmakMYuaZZqEoKZcPKd4k+udP4ClyJpC0K6MMIwWPr8KdOmSPKW5lZhEI5tgHLpCork9Y4qB/v
kNLvY6Wqq4uFsurZdwjYcl0qk8jBMrGe9DzdhISUEmWRpSnmZMK07NEbTijGljz5/gvxpgnVfhfB
2feCekc372r6vctmNf2gi4IEjwb8LnKUnaGZ11Cxw+YbhkXoQh4Ak1XkLrE+pugOSIgyWlhhfY6z
7gsbi7sb2qzfF3M18JQiSZ/R5w2DS/cybr+ZBbvN1rO95mznYbDrlXxSjEb2loFRlM4owP7CT24y
D9ZNNNMoQ/u9kmyw2wIfOtQLUrDBOYiDmDyAYEEaHdzBHkFioRF3W/LO2LH9XaNR2nSeDE5j4cU0
6rLHcOFIeI3ybijWMXlgrf3R0XtavFG+vaKks9dECWS0zc2Kdg9skxXjhmojRuuhluXCTDMX67A9
3UZaUQ7CvlinGfhJTr7BxjFjeZzaKiR3qTrhd6m2uL2aD6esMVHnemA8kOkzvQoq9M6ODvUcfAVz
mB+UU9MtVd22S4evRLt0W0HHbIs+/lMp6+jg143ak39iQUH173oZPrZNAesmNzFtdL1zQXmX72qj
gcWSPHaiMS5DlDyAj/ePsPeJBxXZHa6qeTe6KZgN1KqOWLlw6HbO3NQbosZVsXL6ruWIPk6f7JR+
3NBxXR+rLlYuqWgtDbepEarcmuycwDXiEQMHPZ0JcphNOoDYYmaYxTYKAw7D6IkD43VosEtuYo8G
+KIRNCEVpAXQ2DGVWWZvvVbKxVehntK09BKQdTOlDKmqNuMM2l3rEv3MykzotK0EyWffp2uEmujm
6t4sTSPaaELiPlv4FT/npRiPBLTKU1cRyFZNxkA2W+4Ru4CKt2fckw4s/VnBNegj4tyWYDeZs2L6
qeG+T0vsG8qd5NiLoLNWDor8RxxZMIwX4ziw863H0ZwogSVGzuyMmwal1kMz+dVu8CuY8tfkubxg
eU3pedXwEJA2REKpF3sK8ekTy72qNU2TVZBbS8wEwrKNmFF7DWWHn4XdDUFfaWvrVOsO70hr1hrO
hDl1AeippBdo3tnbVv4U+QkR8pgn5pSD9tTIAuW33/Qd+vSpO2VRahwQrxHMx7kMDCdijOBeOobb
rst2ruIdBB7iLfyAcWNkdVjKVCVwbScg+cdEJBc/qqtHmscDAWjuFOPADRwsqSEnWFQW+/kaKIiq
oSdccKq9hqYEmYMZfN1N2JBDmCdLJCHpDNMrxH97h2nwxsJRiz3wmmPok4uFATwO180Sc6iAAQJs
ixvk06OR39nTcoilAsLmlZPLcrCX2ETATotgkszjtepw+e4ACpCx2KStgOnVtq8s3vPW4iIRJyK/
oh/FmOdxxFzxjZIJlqWLhB2ALd4ckm0nyA2OuW5blyml7UYkIlSNT2BEGuFrdqJb7QzQtJbAyKHz
nIMb+aRIor5xLs01W7KhN31jQzTcBnxpR8gOpFBmhT19EI0YfQmouT8RE+idQjsiuTKeeu/cCEqz
TaikCm7JtLDW5uS9tksS2LRkgrmKdLBsyQkzR0ccakaoNUS0xH2ztM0ouAH4sY8RW7CXmMFtlkzT
d9MIFV3BWL6znsbHeDAkLQTbfe37tJnWaZ174c4AxOhvWnBqhEDn9W4qWuuxk6W1ddyhWJXMb7cM
14KbYMy7rYPvgp5KPwAGU8NjgzQfLMgwrhFtmqsy1dE7KK+xIkuktHcyhmuAOUiT6gCueJ0vTnIr
bKut4UbuzuyF94FwaTwjSZrvfMInnvSAZmTNep7ARJAYtwuRvSopCI10GFocS9wZR1ji4ih0iM6J
+/UkKuVerLkFJSh0eSDUmxeYF3+aZ+vtVHiS2l9AJSKHbo2xNEpZmvNiN7jauUkyoziMglpcg298
LuvMYkpYb1tdJfexYlqdJHl/l3ieeWKR6KEiRzwsHpafhqT1W2sJiYqMSkPRSFyCaWROdl8/VSto
HDzrtZ2cNBrabZYDdVFBm32LUteZ915G7nVcde6PviWQ0QUgwqQlC8bb3jRHazfUdvmniuTf5/9/
PP+TpfHb8z8zcRSeP5/8r3/nb3mnsAmCs0y0WnQECHdDs/S3vFNKfmuZU/wne+fW3LaRROG/4so7
WLhftiqpWt50s2zHkp2NX1i0RJMAQdxBEPz1+w0BygRlOXHGD6itRfJkSUPMcKan+/Tp0wbhPyy2
r4G/RR84VSfkNx0TkpeAC44UT3WAyYNBrrpQFh2YoT8S+J+p66uuasELMmhFB6GUuF/AAieyRLOy
0hC6Sqs35eZxmYcwiz+frMY3aJ1dgh68mrMPOMMVsp0RbpIdH+AGFNS7m2Hpzf3tG98jMfEXrLwD
7e0r00lweFwXNiwQPnqozylEtZZroRWa2m1gIZcR0EVd0Tm9yES4+jq1PuXBbuk+0KvNLeAyJHpO
q8aYTKYfXcN6SZebR9gMrrMkoDRXqudczLKlAOCicuG7KoDp6zIzc8W8ge62vwpzL5hl9IRT6xsb
Ytrsvk6LaaD71nWOy/AuIAJF/SKYpVExwlaB/BoZlWT61qYn07DaGh5FGOEmXa3vUg8BPAgn3D1O
POYluNepidXR9Sn160xL/A81vMabcJYiVLjf1mE13dBv1djcOAWK3Bbs+DeuhvbpJ4Ueu7QEXW4o
wea2H6mORSM8qOHJ/iYoqBC6q0jOm9HE2C5nHnwLhA3QHEIlJPPzi8OX/3+r8RdWA3kD0afiZdTw
DRKeq1fj+TouOqBh+4et6fDsgYVGNaLUkJIdKMLwUI+mQ1gVk37yqk4JTdNE7ggaCno4RCN+DLvK
wkR8tR3WgDBbRT0ZpqGhqzDHf4AebjrnPFikiQ0I02TNNEFpP6dj0twyQW/T0V/vVYt+yxc4W8g2
ihAOHCe/VQoTDZgNbRDQJ7ICdBYpqvgTBQNbGxHWXObbRHk9w+7hWygb6EdpPHLgNdzGS3rBZEZ5
7aaVMzZDD+8LVOYOJzwZxdFSuaFpijZM0Pq4o4HG7kNAxEMPuJgUqJakMXXcQUrlfF4PGU+b6hA0
6Qa8nSHRldLZlffeDYlDEXRfQYDaUMOJu0UX2dnvFLi+pXkiiV4KjE3Kgi7TPEF12nbXIye0rzUK
eGYlgdlqmT6WllaNyyABvtlmwSiDEXiLzVjiC9L8aauSZrOhjIS5MpmRHp/W6n5/YcXo00ZL/UK0
KP7Dq7fBJE/WPmWW5iTcZW8zULGJslwXcyTrjWnobLjc0atAjtXm8ze476yUOS4i16NqtvTfO8tV
DFlK218ma+QaiJtmwypJ8IGL4G1WeyrUs/UeLSNKUEugZCH+gTomt9YYL9kaVpsS3ZY4zK/XvnO7
0sBVNWPzHnUrAZI6F96mvExMWjzMQmLD2otB+kjZj/WZeqH4gYZwVv3RKrb1aFuISaAjNy5KsuVh
japiRowwCd3y8yZHSGe321wnkebf0JGevk36bhLvnamCKjFRYxqNyzXSEPTIdIYpIjjezLsu6lgd
uWsEZ/z9TPlYGz6KMGppISBL7T30791UN5feUNlu6is9XgX3ToB5zjV3i1RplU5hggO65ko9zneq
OY6EtIvlLi92JcJaKVrwEzTVPiW7xLwhc3tVR7PNSLeMdFzmWTU0QsSIDFJC9GJJx2GoTNZBeo/+
wkd3t3+N9JszXFLoO1UiX51o6h69JUo091bwKUgL8yIAxBhVQRVNVC9AUEH3Fqh2BeNiS1NnQZkI
Aensii3hZsvfvTiIp2Sk6pEOhWxERnK0dTWQ7FwoABTWVaoH2qfa3CPInuU3aAB83tfgFDiAySQg
IXtpRah9IzTmDhW8+ZFPrgnx5MS8XO1BAEyoIgj68G+Ewv9RcjRM1s6O9u7AgoRNdXqhuXyDMR0i
p3aATz8zgg8ZHQZvI3W1mRru56WXq9e0tqbeN7GVe25buoIgHm2OkTjx3yNRBlmSGkPUyxBOTnwv
u1ejnUv7DW/9fg8kMs7z/W1eZOHUReBsos9w5/frkqorSMyTaKcth4WuqO98O9sDdaw3E4iFq1FJ
lDBeFQbdqhHWudKQyx35SxfYRl9eFdZWv8kVlQ4f+ir5AKDFKrooIuhmQAXb0qvGVgVmrFpC+dMK
1A/1zFSHhaIBIG1TOrADPVO5tSftvl9Hd2vFqN/RIkS91ooc3V3PtlFZrhSiPCCxagxzmt40wPwT
o87XU16VwlAFGTbPVuhWgR5MvLbf0Cfxs7+1VyNau4ZX25S+r6W7VcbOnvVM9rlFpjdE7cVQv6C/
7I5p+2pdJ1vCqcAu7vA3rspoa1+7ewc6dGYJIeF0UtG3fILaIn3oqtAem3SLHyIS+FAWIZQnUtNa
SePNiD5Bga+hpK0sNnS7nYa0xKWc/7Vf8fvIL1xUNmhMZEbR1FkqGVyNPBnXsy2kRMdwh5rpz9N4
Ca3Q3d/lMcl6GB1Lol1HGVYuiA5VCTUcI9SAsyhlS1Gle1vrzpSevnMvBcRxfZrfbje5dTfTkfmh
UeekrBWiZvS9d2a62MKUpPS7nr2xssC4UENNu6ZZ+HoahNCO14JPhzwEpeDexr1cgYjHof7JtvPX
AR3Lr3Jr99GtEHl1fPAH+pXYV6XqR/eet/0DKXHIP4mzsFdI2W9nQld4Gd7rWnnjmEUmhO+oq8k2
9PcgoxA6tNtSMwTSZhG8WQKpWZp+ybJSHfsevdGsfRlfmGbpj2dEkZMUGPI13ld2Ye7gvIAge5dh
QBWvQXBeu959bdaXcRhpN3s7KKdbvU6nhUvst3P5xEhguVvTf5ev7deBxiW0U+gOsK4Qd1pry3AK
emAN1Y11l6wpmIEN6d/UaX61zFLEIbcGDRKLEjmKFdcLORD7z3C9+081Kynfr53HGJXE4WoZrqYl
rLmLXbRT0EWYUQlNUcJb4NN3tC4l/wwJnxevbpM0n40KiyZwm9n7mFoFupD5013q0zXTNsMrbaX8
UXpJIAqVHw0/0bGFZXnlbvcw5nyfVqqzGcLxu51/vdqa1BIrWLnKVZAxznD0XZhlKIMb1nTpVMZU
D5EEhmqgXSyd4I+KPshXe8Wlxiu/QXENXRtl+cVQEucaRgfYghOi/pegm2zFpO81c6Neu6CvYFnc
5Hus6jSjMHxcufXeiD6jICXSUT5CFmv2rJJ6aANVuLnJaEff9bj6WCB/4XAUU/R0YH6w+zbuW5qV
ehWtLFb6WhyyONhYuYGkMHpj5NITW599MMoqMiAL12T53OXEyqHABTTf2ieVj7AcjMD3hrlx7OxP
CgGifXSdGdsciY4gpp+ZhTZl6MNBHEZJRtaw6TD1P+NetxMRXVwmhwbLv5eLrH6/yEvUZ46Op/jp
u9iPinsk7gq/qH/0l74/0KvFSWvnB7zEQrwBnKhORSbB75m7fnilw6t8b4RwzhuXj4tffzG8gQU7
WjjEeN889B4McUXbHyseXjklWzY3p2gJRgPW01Dqe4vw/fk1q/n93+nMYP4IXjH2uWH9h+IUttBV
0z2HOl5YhbMxTlbBHdCizzEsIoXT2Tv2wFGRX36aPatDdHSyQV7aAt+f2c+bvUbZ0d/bAi9O3jYH
GiCKQ9T19BWfLgLEj4FozCqIHn2bviHiN8n5m87ApC2hJdgqh4fd1Jm/rg4o1CQFDN1JPM0H9mgT
EMuCT3XC9n9yAuCoWHByDnMUk+wsgipKtBEmsnt4BITRkpu9PnBsmmcBWTazP7OCrj2gwI9+LCpV
xIenbwcBQUNXehWAaEU9IYTmp1me7gFPG7ie5kJs/GooemYNvWdy/D98EMwB9p45Qic7POfWAPCb
rULxNAiXeHpnDQxL1QHrpQ6ECUxH4TD/nZ0EB9afrdsoLBjN8oC8920PWLI3gmGy0T0KxzWrmSRQ
ZOcg6ANyD5plWaj/i6d3i0Daxv6bruGLfoHJRtdd3UPe45ur4GgDi8yFKg7D4WnsT5/uRbwW2YPA
JB1LsyA1NF/12b3IeQBYaIVO+nUQyBGJvJiUHSA8aMVaWpN/dhKECIxtIYnosBHE0ztraLE5ZRfB
GeiWCQkaPYnjJE/NAYSrAVokOpXr7cXZN5uIToshGyaYKm4yXzUF8M0qnN0M8MEdMr70If3qPfTr
QKBWJLsIBoGiihusGVjX0z0AUV7VbJIQRmstexcnuy5pM2lrQPoe9WcC5eY5WwRrQG7PNg1qSA9P
7+5FzcBtk1yFw2lnGVQRdJ3uAU7HABRBRFB0CuHpnTHUSKLKuoY6PYo9C+KFcQaWYABAYugRJQge
4umdP0B6+1lVzA/HB+6g6bIMLHR4zuIDl9oXDdaZBxGmn6ugif0peQYMwgATt8dEx+nwnLlFrjEA
UjJQ72k95N7tBZ2KJlnYkCtR44v2IO80q8DZOjUIjjmAaU0C8Hgj9u5SIMiVBk9NuozD9gJDbqze
MwhZNLkDVRBQ5eFpDHCP4gRdg4oieSJAEQGILJQAv70KmoqTSJW/The9w0f1aP6a6WjNAX3Y/Wu5
iJ9g/eeJhJejRXOA60MDiqMP/CxS4DBYnkHlQf+8ArBd6UARW8DckUr9dqTkeqDsLoQo96vv1C/3
mCDBk90FBh6Qixya3UbL5zCy52ALDgTQFmvvXUaBL8mVdZGImokVPehqjYsgItDTewE4GcQA5MRr
l6l/FkGkOyQtIqW+IqemExKcTd9i+hTsHvNN7a7rk0FEyVU6WHJxh01kR502Xj5zkTwXg0luFZDm
yZHsmUEwbE16FTAIyPqietmehTN32cEsQn52qTHvq3MAB1TWLOIigQ/hDjttaHS2F4BSocviP7TO
WI+OgmFA1ZW1BHQl5nKhV0obDZz5ydhDpAUwFFB/D0/vogVKKqXz7KbFLEXq6OTAn94Ktjegb4om
ZEQbg9C7W0EH6ZRFT8gsuZwDBF3boOj55cAh4e4UN6h4+hctoDIhaxYxCJBKdFOklI87/nQvOBa5
F/JKbIe+rgJgt6yfZIpzj3gIZUTNKpyZRQ9mClVGYFbNJ/XILFI5oMpOHxAFhWNSJ8eI4NxNJGJE
IBxKRrtJ+ncUNAJa2csBPwgpkSd2jVjW06PgASs6DryTYx6yf6vAlyTtIaiknEkxtQfhgB2frgL5
BYTTXeFMNgahiVf7dCJ0hC8k9wIpZ0IG4FOqDg/P+V7wBhBUhJR/u069gxK44XXZK1IkXXEWybO0
4eHZKmiCguLAw0GZ6bDgfdoF4u6W3QXGAKEnSEjHnDuHq3MWRE6e1SG8ftolfYucDkVlvNQ/B9Qg
oVA6J+TQvzrFp6uA9NqAcgXwZ7fxRnq0CwzUwaWDBo1kIo2ZXZJWh+fcOeCU4D5hEdtETP8soskm
lj8LVFGTVDWQYD883bMAiAI5lTVqk7t92gR4iNIYkkG+HfY1kUezCc5MAdk21yPJhElsVqd3BpGT
oDU785+bAmImEyxGqNw1szwDUVibAQQPXOmW9NWnXWBRiSh5CASSqOl0vLDb+Z/FjA45WTwC1Anb
XdA/t8A+NLSQuhDYBZRhkGyEpdw8XVNAhgG0ldQ8nUEOT+9QFGzYM1WKH82/i8gZUEC3X+Bm4h5i
EClowHc6rtLfdQ7+xrF5qv8Zrfzw8VD54y/yb9X+vPQLR5/g+c/beperx19/EYU9nV8UlfvNZ38t
DPqtk4w7VKWc/PBYpXL4nPbP2wk+/+jOZx1ndfzHS3+RzbOHVX34Qd2+5pv5hvqhf4fzz/PN/LQg
B2vEzvv6Jr/+0nnPE1vwFwPn67NxBQQnPW5G766oO/CBNS4/8Hoe5fP8+Iria0QKCgdAduTRPPS/
xNmZUGtDbJQeOw7jbP4YH99SvHVTTiI/chQtHgqfEt7O4AdOruzg40U4r+bZ4nTkhuAmPXJbYvYq
/vIKFZVy87mrj9uQCGU/Zcqq+4/dXdhws2RHvljEiPp2R24IP7IjX7Livn+64i2bTnbgq8f5qrMB
Wz6C9Lg0CKFqvXsim1S/9NDRoz8/syJN4lh65LjqfnkNQ0d22JvntqnJcUoPzADlw7ru7Ismeyw7
9Ou49PNny9wUOsmOfTv3o471aDM88uNmdTiPHk+Xo61QlR86z+cPqzJfFEVnT6OWIzKU0uP7Dyt/
Oe8WGDcZH/mhuQtojNzZ2XRmFeCx/Nh57vN/knRsUwvQ/4zRY/p4H9/z4Jw1qLf00HFUnNmQlogm
O/KbxeeMnlrd1W7gWfmht/PuvdWWmcgPXL26nG+SfOV3r3XGF4jizxj/epHli46lalmgP2Pw28XO
f+hcYwwu2NY/Y/A/42x9HOmwBZscpPTQBz2v0TyLuSm726XhfvycD3hZMOxE5OCfBAlvV353xZs6
F9m3frsO8Ui6UU3LjpMeOlsszzUcDiih7MDvFlGU1+F2fhYmIFctklOyw79fxY+LV1f5s7utKTSU
Hf4uLhGW+9ZGFPjZTwj7mg94vhFbeE72/e9Z/UWeLzouRUudkR97140qW3RddtwPxXx13BjCprSp
K9lhPy6yDTdbZ+SmIll65G+1K2ngRdmhv9/wXtJK/WWvFdnx/fwhjnK/47kZDeIovTAv68R+962/
hTQ9Cac8x5+Ogijf+rMuuCZ+4yFczLPf/gsAAP//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no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a:outerShdw blurRad="50800" dist="38100" dir="2700000" algn="tl"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_xlchart.v1.6</cx:f>
      </cx:numDim>
    </cx:data>
  </cx:chartData>
  <cx:chart>
    <cx:title pos="t" align="ctr" overlay="0">
      <cx:tx>
        <cx:txData>
          <cx:v>Funded Loans based on Ownership Category</cx:v>
        </cx:txData>
      </cx:tx>
      <cx:txPr>
        <a:bodyPr spcFirstLastPara="1" vertOverflow="ellipsis" horzOverflow="overflow" wrap="square" lIns="0" tIns="0" rIns="0" bIns="0" anchor="ctr" anchorCtr="1"/>
        <a:lstStyle/>
        <a:p>
          <a:pPr algn="ctr" rtl="0">
            <a:defRPr>
              <a:solidFill>
                <a:srgbClr val="843C0C"/>
              </a:solidFill>
            </a:defRPr>
          </a:pPr>
          <a:r>
            <a:rPr lang="en-US" sz="1400" b="0" i="0" u="none" strike="noStrike" baseline="0">
              <a:solidFill>
                <a:srgbClr val="843C0C"/>
              </a:solidFill>
              <a:latin typeface="Calibri" panose="020F0502020204030204"/>
            </a:rPr>
            <a:t>Funded Loans based on Ownership Category</a:t>
          </a:r>
        </a:p>
      </cx:txPr>
    </cx:title>
    <cx:plotArea>
      <cx:plotAreaRegion>
        <cx:series layoutId="treemap" uniqueId="{2DBE8D5E-E197-4F77-8794-9565C7D74200}">
          <cx:tx>
            <cx:txData>
              <cx:f>_xlchart.v1.5</cx:f>
              <cx:v>Funded Loans</cx:v>
            </cx:txData>
          </cx:tx>
          <cx:dataLabels pos="inEnd">
            <cx:visibility seriesName="0" categoryName="0" value="1"/>
            <cx:separator>, </cx:separator>
          </cx:dataLabels>
          <cx:dataId val="0"/>
          <cx:layoutPr>
            <cx:parentLabelLayout val="overlapping"/>
          </cx:layoutPr>
        </cx:series>
      </cx:plotAreaRegion>
    </cx:plotArea>
    <cx:legend pos="b" align="ctr" overlay="0"/>
  </cx:chart>
  <cx:spPr>
    <a:noFill/>
    <a:effectLst>
      <a:outerShdw blurRad="50800" dist="38100" dir="2700000" algn="tl" rotWithShape="0">
        <a:prstClr val="black">
          <a:alpha val="40000"/>
        </a:prstClr>
      </a:outerShdw>
    </a:effectLst>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_xlchart.v5.8</cx:f>
        <cx:nf>_xlchart.v5.7</cx:nf>
      </cx:strDim>
      <cx:numDim type="colorVal">
        <cx:f>_xlchart.v5.10</cx:f>
        <cx:nf>_xlchart.v5.9</cx:nf>
      </cx:numDim>
    </cx:data>
  </cx:chartData>
  <cx:chart>
    <cx:plotArea>
      <cx:plotAreaRegion>
        <cx:series layoutId="regionMap" uniqueId="{A9EB220B-174C-4DBF-9970-7E67E3F008EC}">
          <cx:tx>
            <cx:txData>
              <cx:f>_xlchart.v5.9</cx:f>
              <cx:v>Fraud %</cx:v>
            </cx:txData>
          </cx:tx>
          <cx:dataId val="0"/>
          <cx:layoutPr>
            <cx:geography cultureLanguage="en-US" cultureRegion="IN" attribution="Powered by Bing">
              <cx:geoCache provider="{E9337A44-BEBE-4D9F-B70C-5C5E7DAFC167}">
                <cx:binary>1H1pbxvHtu1fMfz5tVJzdx2cXCBNipIsS7Yl20n8pUFLSs/z3L/+rhJJR2ordKwrPIAMEMJNFqv2
XrXnXaX/3gz/uUnu1tWrIU2y+j83w6+vg6Yp/vPLL/VNcJeu66M0vKnyOv+rObrJ01/yv/4Kb+5+
ua3WfZj5vzBCxS83wbpq7obX//Nf/Jp/l7/Nb9ZNmGcf2rtqvLqr26Sp93z25Eev1rdpmC3DuqnC
m4b++nrx8fWru6wJm/HjWNz9+vrR569f/TL/le9mfJVgUU17i7GCHklbUsm5JPcv+vpVkmf+9mPL
Zkc2d5hDmdxNerlOMXCRZ9ndTRPetM3ug6dWc7+W9e1tdVfXIOT+fTb40fI31N3kbdYYhvng3a+v
P2Vhc3f76rpZN3f161dhnS82X1jkhoZP1/dE//KY5f/z39kDsGH25AEqc5796KPvQDn/cx8bfg4U
bh9JZnMmlPMYDUceMce2KSN68+K7STegnGNbtDfxuHv67xH5e+QMDkPXAcKxeLePBz8Jh3OktSMl
EexJGaFEHklhO1zN4FjkSV6tb/N9S/knAdmNnMFh6DpAOC6W+3jw83AY8ZD6sXDY6sgmlGmuxZPC
cbGuxmSd3e5bydNo/D1yhoYh6wDR+O18Hw9+Dg0ljqgQwiY7nSQeo0IlO2K2doSiwGtjtjbK6rdk
Xcfr3bN/r6p242ZYGKIOEItzGK+XMubcORKOsJm27ScVlXaOuEOoQyA79y97N/fWfKyzel3vnv17
RM6342aIGNIOEJHf3u7jwM9JB4f7pJRgiugNIrAQD90rRx05gnDOCNsg8r2MfF2nzxOSzcAZJoa4
A8RkuXhBTGDOCcw15TNVZdtHhCqmFXc2YODzhwpr54K/yv96BdPepl/DZyDz9K/MYDL0HiBMi992
HHtKefyk6NhHTAqlNN2KDn0sOpTqI0VtZlNBN3Dt5t4GKOsk/CuvsudgtHgwdoaMIfEAkfkdbvxL
mRnB4A9rxRTdmpFZlEIJ4hcJrwAh5VPI/D7mCGj9fQt62g/7NnCGiSHuADH57WofC35SWsQRlBYs
+z9gotmR4JpKKZ2NIZqF879V8TON/98jZ6gY8g4RlS8vigriEYb0yTYkgcP10PxTSo/gHkitpLqH
BTruocX5rQqnPFvvHj6lVJ+WlG8D55iAuAPE5NPHfSz4SUnRR5xx21Zsm/FiT2BiO4wxpXazbizK
p2Yd7J78eyg2o2Y4GIIOEIfLl3TDkDThmtuSb43ETDZsfUQdyR2lNqJBZmhc5lUTvFqsqzwJnyMi
8/EzhAypB4jQ8njfDv1pSSHEgaDswkUEJw+1ly2PkKFUgtOtvzyzKcu7ZN2vq7t9K3paff09coaK
Ie8AUVm9YEjJnCOp4V4xPoPDgYl3bC6Yw7/Fmg+NyQopxfD2Gcbk28AZGIaqAwTjBB78S7nCiO+V
QHlEaLrhOQz4QxFx+BGSY9wWZOt28d3cG5NycpdX/nMilG8DZ5gY4g4Qk9OzHV+eMqw/p7bu40Lo
LcJhMR6CAe/X1FVMFl885W2dQluF4b6FPK2tduNmUBiaDhCK319QPIR9JCjl0nbsTSA4s/EoZCFS
hAQRsZEfiM9DlfX7ug4QKTZ5tnv+1PZ4GpWHY2fIGBIPEJnPL+gFC3FEbMnwHzTSQyFBwVchtNfK
4RvIZkb9812V5lnz83h8GzgDw1B1gGCcvaSYMIAhlLTFRi+RGSaaH5lYRdGt3pq7wmd5v/55QDaj
ZmgYsg4RjeU++n/OfkA0kAAmNtvlFefpLSqOlETk4pCZbJzdroNnFHu3w+ZIgKRDROIFXV1BjihQ
ECi9b3TRDAkHIaJwFJfONhEJj/ih+ThLEBrmYb17+u+Nx98j56gcps/7/iW1FUGqEXn5rUdLCJ1Z
EPvI4Y5jipDfUHuIyvu7LKvHpFs/KzX/ePQMHUPmIcrM5b4d+nPai+sjVEy0rbfM15CJh/YdFUek
Ix2i9Db9JXZzbyKSs+w2XD8nn/Jt4AyTMxB3gJhcvGwDEVc2Mu9bL5fMUo4mOW/baB+S20TKLNV1
EdZ13lbPCE3+HjlDxZB3iKi8oKQIdcQRt6MsstVkMz2m0dmikUtB/v6xiFyEaH2s82a9e/zv7cqD
oXNADlNM3kLjvlgyhRxpB3GgQqvQ5vVYdWkKw0ORmXe2um2mut7mbVg/T3k9GDrDxRB4iILygrig
3os6O5JY9jaxSB/jYqOIRSS6WByE9w8t/cW6rtc3QVvfNc0znLDZ8BkwFwcKDDLYLyUwQkKDmfrh
LkE/S68ofcSoogLB5UaeZgJzsQ6zu33LeTqzsh02xwOEHaKgIEv3YnigCA8p0egt+ub5PvK9JJrp
CXwz46GZ13d2/iYI/XW2b0X/AEm4GzlHBeQdIirX+3jwkx4xevAY8sHfgsS5R4w+IqkYuru37d3f
oVLXcMDConimA/Zt8BwbEHmA2Hx+QdNiTjpQ5mi4xxuJmEX4tnNkAk3BdxI1y7h8DlE+eVYc+ffI
GSqGvANE5eLjy0kM0vaw5pJq1K3uX/yxwacEIiMAnDItlI8sPlLDz4oeL3YDZ2gYsg4QjcuXtPI4
ooUuR9OyskFjHj3qI3jN6PrexTEzGbm8+1o9r9P+75EzVAx5h4jK6W63PhWx/ZxVEfxIORKRyu7g
3ExG4BRL02SEPMw31B5KyuVd/+p0nRYocD2nQ2I2fI4PCD1EfN68ID7IHXMwX/JtZX4mNTaS+HAJ
cGpzY3j0TJMZBr+5q+q7cd+anvbGHo6dIwMSDxCZ6+U+Lvyk5Ai0oiIqgXhsWD+LWoDXEeMEqRk1
w+Q6b9HytVzHz8q9PB49w8UQeIC4XF68HC4cuDCYGSq2dmam0ShRR5SgLEwcJADmuuzibghvnlH8
MrKyGzvDxBB3iJh83nHn/25lkM3n6I9AhP93LeVhREmpQvCCLknb2SQxv0OmWz+n5evybjNujghI
O0RE/nw5RMzhB66ZMGe2nvKN0RSJWJLAM9jmXGbRpNnvf+ZVvG9F/2xVNiPnqIC8A0Tl3Ut6YwSN
RpADobcnH2e6C72RqEaivsJ25n7H/03V610QPkN3bUbN0DBkHSIaL3gmmKPPzuECHS0bEZlXiDWi
fhgSQnYegJ6hESdopHjOscd330bOUTnM08G/n+0483+3JehrUejpkhyHUTevx1E9uilw5wRai/XT
/cO/h/VNntXhM9KTD4bOcDEEHqK0XL0gLhwWxUEjPVdP4rJpknTQRzkz7u+qO/85nZG7cTMo3oGm
A4Ti6iVFBJUs5kAGtnV47TwWERPUU3ha5sjW/Qtm5qEjfBXgQppXZ/Xzrpl4PHqGjiHzANG5Xuw4
9H9XYByCQnC7B6PbkH5u5E1jEjrtcapug87M9bq+Dx+ff2JoPn6GkCH1ABH6+IItFTD8jkAikmyj
kXmjC5qPuDD3Gj0IMR/Kz0e0huGiqLu7fZvmae/4wdAZLobAQ8Tlj31M+LmUC6c4qcUdAdHYeGSw
JA/DSI0wEwENWva211BA7z3GZXjOvSAf7+6HzfEAYQeIx+8vGdajrCUYjkXguqL71ywF5hBcbcBt
pFr+1nQP8fj9rm5e/V3B2nz0lIJ9WlZmw2f4GEIPAJ/9S3zIkkff/Mn78ZCAQWcLOvP504ElJAcX
6qB1b3fp1CxlObu67p+X9TRSs+GPKPn/dC/eP9+Z9+1eweW6WR/fX0j44Nq8/Z/ek4sLEmdDt1pn
s5UfUbtTSGe3v75mAlz+ds2h+YlH2mrGtA3Pv427W9fNr68tpY60zTkOXQA9dAGaMxU9xOrX1+h1
MkVpGDEkDHADiQNlmJnDxr++hv/HcdMb4N7eiFgblwJDcKUMZyiYaopKncalJN9ugHyfJyO89G/c
2P77Vdam7/Mwa+pfX3P4McXma2aVZkZzwx80ALMVQgOGBRQ36yuchMK36f9LaFRltI/lnUO9ptXH
rBCFlSxI0YXTZynbIl4Lq5L1KivHehTLhg0yGBZW7pGvflaJzFrkbIjtNzqQY7uMtZWVp71Ok/oi
kWlhjW4eD7L4KuMmGvIleJVEfOHbtqB39pCP7VUSDHaydhxZeDc85aW69FVYFtxNaVhjKaKQVfou
oKTps6WfyCou3LyXafqW2mOJJftpSsdzlvIs+suquxxjHkD6BJOgIR/xCKUdJjRyo6YVHezCjnjI
I5umYRuowLnz+jyLytMmFYk4TURXV/bpVPtN2C+msMAdMQnxQuat9k9PUT56PD8ads0VjRwJcRzM
0ebzBxhNEXdqRVR4G9GYx+Giybnkgas1s8poVQ29XzXLKmh8EbiWsKYie98LPtZsQcWkev6mUUFW
x26el7yilwhJSny2f5HYwg/XiBOQnON8BLorkIw02/LxGocgtFhQcetWWVVH2NKfbN8uV4kjGk7c
rGqU+hJL4jWIPb6J24+xMfMKjXvIcMMCQwftfN6iHXM7t7hz64/Yc8rtSJHUfwTCY5nv9lHYhu8y
D3evNm4Q5LiHwd0/vf6ObBueDo7laoGEH2ToMdm+7EKLDAG/tezELvlC9kTJNQTJas7yKbSTy9Ci
Ob3gcTm213FNyBS4qNMmYMrPrgSJeTi7aP2+j1zI45UEduAl0UiqW6F6iNxqpGqi8UpWfVuL49Dx
hPpStWBB6dYK1eQvORm7Sh93YU6K/geooA3g8W6QDCctcQGM6XbCub/ZbmhUSKIxzrwbT0+ZrE7y
ski98djy0lqPJ6NTDdgi++mnM01mE4mrtiAlEFScqcLlc48Z4OspkrporK+ogtupdTo0gRGIdMgD
XPLa9pGYxCJM65EV7qAZByNkSIL2Oi1UNC4yi1bZtU6DtMqWpcwrdpV2YVZ/3b9Mo08f6FsbqRWC
o3foaMFVuJCWmS5pe8+pSDkNX4eqqbAJSBsT4EOGnkvLHSreWdcFi0sjNE2fm7ew8Nsf4PMds1DM
wSlAjqMZjuACqu0xs5yS1c1Yq/xrlkgLOjyC9pp6txtJM8pz7kno/dpvcZNPGskMGrUq0orKU8eK
rC52ywDa1mj+McCoLJyS7lwMcZGnP1Ar5uLGGb9MwxZD/ZwBYWVuqX2o+wbeZ4XOJv619piy0uOo
qYukfV9OTVhki74cSyzOstMOn+Vjmebj0omn0brui8I7q3WVRP4inSYynqdBmTWem2mivGbRSmIl
VyrV/pQucAHCAJXIrGik2Rsy6QS/GodeX5Y/EFOK8OcRQbjKCkeatCI4q4yjfXKmMbAzs7LLuuKL
LXMZyUVB0DlQup7Xal0t6GRbUO3euNGeSSvwWXuvTgrqOfho6BuuylXb8x/LkJhrcXRZwRmRmuLK
ByO7s20RD3GdekFefCkqSFF5zOvYEReMBnw853U7gh3a65LpcxoM42i7bVD1ZbCAwu/VlV9OnnVa
pSKaPldWW6tLJ1TGQRhElyb6JG6lgSevucYWGjtbdldFFcXT5ylRcR+7JEmM0QrBfQCUZzrAQz7i
4qLPTjoMwI7LaMRbPRG/cZaFrHm9UnZrsIsHP4SDUd5Prx3fGnvXyYcIP5HDecDKQyszvkFTyDRe
D7XKymKlu4p214LnU/O2qmKvcpMkrVi6sHwvHU59AeP6Z+ZknvjckY5ik9mODz+jK7McLsp+3TDX
muC+jToFfHxhKzSTzLYG98bMp7pIvkw0rSvfHRixi9rt8yhPznhb9lAU+2ecayPcUCAIo7DbqMTr
72asK1IHfcr7P/nUms3Yt8KoP1bbMYy36kqpvngRn7AJe9Y2tX9hQ7Fgn+5fhrng+5FQcNxcyWzY
CjTJMAEv+bGUT7xrS0ur9HMqsrThbpO30rrLy6CENgriOqPHlWfn4fuudnxonCKQuX/sOw3rche3
WPdJ5zbML88Tz1HXA68SZ3TrnqruqnEsEi5KOQ35OTYRCdyICC8sXOEpaoQ9INiHeRfAuzjzorgx
kt+hSv4O1zbZxejyuOJDd7Kf4rlec3CCgZhrn9j9Xc6ICR5THCsvyPqytj91bUbgxMqqYnBiu8ns
W1xwK8RpQPsB23aINceb39x7tpYqzJbmbdQz79oblNnSrAyntDoNC8aNiiynmtBVmXRFHZ5Mcowh
dV6fGp+ajk4K6bRpCTHaTxKbaTYHHpADswmtBgSR/Zmp6pJn6ZRHGfvkNAGHbDWFbxbQWLw1onsv
xyhnj1ibFwxGxKErjUqpihKGxgoo3Hg6SPMoL2Nc6JvoyBanYZ8YPpRjn6tLrxzwrTDghsTRT1W9
ii274qvCqTpeL0bYC5D7A9JmEQBI07jCk1GICpE4JTwjrRliaidtPn7ifmc0VVOV2FpTMoX5TUOc
mGXu2OTl9NlmmbGPqZVTADKoNPHH4ylVtPFXmltt/wleagV29HbEsft4N0GbZKGlscVEnxRGu7VQ
m6chK3qotQYeCSYMG4/gX4ixKFiR+gKsaBo7sJqFTNoIIhFoFuFfG/4YVWjuQ97nac9kFLcqI20H
T1s6CDvJd64u7SehRlVaH7vUzqEdNu4tC5yhixeILAM/+5FamJkjM6VAzyMjMEsohMwDLxLl8FqL
wf5YtxQ7pBlx9ic8ge0Hf0RUiFwee72VD7WrEj6C4UnnZXBZoPTApb4akua9rWrHi1ZeIxwoAwhk
d1UhXwkLkFoQ/GbIYKi2sPlln4GVQ+JkkBVIkYHDjwcDhBWFFG96jHR3RfI0x0pkHMM2xaoxcep+
bgvNH+tEEG+MAJQExa2j30dUcAdryyfD+DEIRpV4btPGvFh4PfGiS8UmUY3HZVCpwnE1YzoK3Koq
w/INSVo+SLeAt2OdV35qiQsvDWy+KPt88G9ImJDT3muFWsZ2lie3Ikqm6irNVYo/PjHRpH8nOkqG
aelEmZbFooT/WLervpdOd1mVgTfkrkpJSt9yUlG9zLJK00U0NG3lufnglFPkBllXiWHhD3EHYeim
qh8Td7BkJKKVZrQV1yppRuEvyEDbvj0pdB9QD/6b5zdnTWDDM1vYU9JPE8JabMXibIhHr3XLuojU
qtO2z5cytYbpY69yFn5uReJ7Sy4aRhcj4tN8dJXf1HqpQ9bHC18m/ilOnTXLMif9dO7pjJAT2tOA
rXyrdgJyXMR5Kj6NsvNj65POyTB8HJqBNxdW3WTWFSyG3d7KSqnq02R3fpa7RZ7ToP6ghymJT7wQ
2Y3VlAsnzV0d55wFC7ua6tL5StPIyW4DVuTdsMRWGcs73TZ9TxZx0tc0Om28rJTOEnGATNSJl1qx
utTUtuL4pFMFq5PgLnAy3oDLA+VOJS4mnnfY0hOt6iL4gBp8o8hxlomisM9a7YVB8jaTQ1z6x1Hn
N333tpeeH4YrT6R9K6+8jPHyTEUi8J0V9orisVt0E4FZT2on7LXrW0KVzTLwqikaz3q/toLwpA9T
WJtFrHsBBdsVYSv/yK1WyfoMm6O3vEXP4bbQy7aA16XdZuTOoN4lzLbx1mweWmGY4DP0zwhMN+W1
KL9ObalZ9yZSVeGzUzpYlm0vxkjGrX0yZBFNE1eKzthFIq0Q5PhcwqisB29E+8EikoGW/ruxL/rC
fh95VtQnKzvmFivO4nbUTvdORVyG2i21NjkJu2pkEH+2fc+zpnMhkhqcssYSKvsCWrsM5LnFvcpO
3tKwDGnyPor6yPGO+wiKwD/OQzQDVwuoLLOksbMSwo6JH4xhuSRFHFXOMmuIJbM/mM8yzJdGidaf
Wt8py0WF0BucZU4bwoIsqArMj2D9cFncstTGpxdBDeoXRUAzrlZR0BuO8aSJ8ZbXQWNdZ6ltVL7o
Gt+xF7pvcmyAKYO/cdLoKsX3ig2pQSMnsK+MbLxgS2oPsyUBRZCZ0dDAQwsRMPk7TQbD50zoCLkk
q7UqQGFlsROIu7JEQFOuqjCEp7XoHTra5SJ0AtlaQFC0Zfu5ibI2zMAvK5jyk6CdBB0unMg2Sw6B
dDFdK+wszMDxUfnVswazwVRlGeTlaOFZolPDmq6j+CpMrFP2WEOHLhHQuKWnqjgvvyLhFuCZHIpc
XcdSeJovRK+RAHILO6DgxXb3eFOt8ZN2ZBnivGa8Z0aLXVMttj6ulpM0/+K1jC84CSvrestqa/P1
HZM330OmgMUXNitSLIBmVtB9jUNVhNVJmPERRJdswt/8cX3G/ZBcIwD3c+3KDVD51DXYaoi828o/
y6gePenSOOhG9U6nbQ4udSxN8BVWIMdWLZDm8DrtxmQ0Tq+fSoaHie2T8qvecDAvIEHQaxuaAhYi
RlsUeaZ6ejq2jonOyQbazfZQXpyAP0qEGHEs7cQQP6gxwD71aWWmCUSg8HDMS2IHnyYrFG3zBpRy
w97NRprascUqQaT5FRpWNcahssGxu+omMEvfMNSa+gn/yBOeC/vYIjKLo7MJ1aqhOPEJkkjkuA/b
HDKtI99kPuoe+IadzcqvVPkZtk8t4bGC+KqDs/uuRi7b/CDrzJvofAdvSUaMOKSTNOvPWuUH/ac2
8RM/XGW+g98NSk59fhrXo02bc77ZK2FU68Y+2bJcR12F5Qwhj/EjsAA5Jo+KMIad72g5KfIJnlvk
dMuitJosXJDa9zC5jALcDL5skgK5zQQJA6RsAFPQntm5b8S5hX3Fs3hsVeSsYjiLw/iG6zoZ8tNG
5CRNF4kWSdq5Xu0jbUg1bfH9oClrvMFplMllWrb4/5j2yNtJ0lOkikrk8pPLLm48JAX6KsLsNPDz
7rPKvAFRgDdOZu/3Gqo8Wg28ZNAwThUkrXOcpDCx6fFgZZ6uz6SGqRr+JGqIoG/8JM/j+HSbTo6a
JKiiVRskiHdvRlGjWfW0iAKw44Tfy0yZOwkYVnt97E2feeDkffOp5H3Qq9NmQ/qg/Ros4sUwxaAo
9vtaHquJUGi5phKGfXQozK5Bvsps8U3+1KnjHhygLTP0NmHI8FZhg+P7ZYjso+WGyYS8Mto44ky7
SFmMKr3gBa3wDTVSE8N2sq2xrzZJlonKpPJWbVZWHjvzvXLCb0yb1JuHsBxZw1KKGClKj8YIfdMU
sVO2aBIkJuR5GisjT43oQyTh/dhpoCq58kbYvHqEpolWiGwN89qQm1QBa50YufgoyXwMx1+MAZV/
9nDPPOtN79VVFV5qHpkkZd7C3F3YscdV80EgjTV6x4MXWWOwUn0hk3qJ1AXOMLg2kkDqi/A5RUgO
Y6gB/mSJCVSpLDVmI5We2W4Vqyg234aTUZMjE81DEvLuTT/J1LM/xFPbW9cVnGlkFaai1OoL9C32
l9UXEzgQCWJo8IrMgvJHeGmyVEkIfxWetU7zvvii9BiU9KsYEpVcKlUWo7cSLK8b668+pNHgHcOi
8US6dYL8t7VwEmpXn5GR7OPmI/HLyPcXnhx5MFz1Nnyb8lZ3YVeyP2vPQWripIrbLtULi011/HkS
LRO528I6DAj2Kc3hU9q21C1tscvTSLNFh4eW3bl2j8rUsNxSssGyLCIkiBdo7B0NWffqJkk6o//0
6BttAu/fCG9Yp+Yb2X323ouYeSYpsfCN0R/NFz2O7ER6jMjd1DbCxCsgyj68Re9yakZaHEcQVCOV
OjWfbLcsfEpoIo2jKvhok4I36tTyF9UwVtx2KauI874NbL/P3Z5kSNiLcfI0O+vLzEi5b00mHVij
ToQ3AbesOSsngv0tCOoPl8hbmpXHISqNX7YTyUrDpJXYKtb1JmLLwmiyYzfKilZ8iDcKK94kGksc
/sNusJLSJCHrSlVCLFM/LXPPDUrVWtdtKAvQ3PSo4nVvQuYbNy4QA+awu8Qsq70XOCuPYUdcT7ZG
yAtmyozLrB/MnrS9icWhK4M6S9PjIEogjasNQ5AHNkovRgMjflfU1IrOA8YT2/lB4msW0COXA/2A
Hcyg3BT9Lq0cNKghIF/NroM8V1i17fsDpKHPoWZLSxgJSjokXgK3C0uz9h9Ed49jOzM97lJAz7K5
XRfzz/KsVTvkVl/bSFVtVGOEHDBWgTgAkrR/qlkCHdJE0E6AuZCywv+VCesfFA97Jy4dD67kbo+Q
eMjzRVl4QrzD9QJmd2sVGFDbMALCuagEINsqx/1reZxCQIc29o+DPwDoKJTDsc/Z47V4HWdI30b+
NU4DQ42Fkhp/vK5x1fDxlMN1/hGfv58QTS9IHChHMyQXzSUID4mPg4rQJCXeVTlkMBR+DIt/Zo8x
1NxWsvcTSE3a7u/yjqEQuVsi8Wfz0P6PctRswiGJhJ81ibraaow+mEzSflR8lHI1iNrpVlHhTdWH
tudjtEzbzOhzXkE1WPUkYI9+sKLHOx0rQihlrrLhtpY43DMvi42aWL098vIq2QhVD78OMj60sQe9
HjpdCAgC0Y6QTM1hHOBaWIFZSFTwsp0WXYnIfiVTnkviDlAt4wKqvsTXIR8evQxHjnhy0W/qWcVG
ze4nYg4jgMNfLiK4ewQpWYprwmcwqqBs2GB1l0EdG8003TtCRS2z9sNoOa3ATXr/PtUlUQBB1y3+
bs99A5u5FP7xfPYAbwQ3A7WXW7M3+EEZuSSHZs3dqsa9Gj83H1L+ptUXgoF2ePGdOuC9h0x0F0aX
G7MEJ9mgYccJ5CKrS2Mw9k9o9MuDbYoNgfKTuQcM/SgCGc1ZPrMfpyGsJhmf2plVxXJhp6nNv6gK
AvMjEfx+KkDnoIKHbk0EmXNVl3osHVtf+acbV6STyI5gH7Eyxdt+qratGA8IQ64QU2k0yBDcIeSg
0/0xcoSgLmOHQX1STYwE9TGTg+lGaHEjR5v/VU8ZauiLvPaRW9Vu6k2IFt1G+g1Nz2Gt0YLjL/K4
QObnLRPIPZD3qSd9Pz8d4RvI/NIbwpgO48JjKDn9WZdlijCoipjIyuM0aSfWLEhOVJ0unUoi1faW
DzTn6r3e1PNihWCEv/OylJbDRewHnUbLTNupkCInEqFV4xSBhh2my8SKCkCxdVBsC8MCN964FfDQ
HRgLda/GNqFG3BOo7j5IGVQ3QkPjBvQds+DQ5sxBnJCxFl+Ai6Va+5LXiXHmrI1vU6A4CmknhUOn
0I3rJqWTm9WVzsKlKuwkat1dyqOE2QzcrSNz70GhstaDv1PpGCNulx0yS4gtYsWOCyfHlGmMqKJ7
Q1CtCP1FMqS4/eQE+fwkSj5xuL2aX6qx0aI4ixSxTDKg7irkWcdNHKb7seblMojbFGlXZGBsVBnc
KGic3FtYbe73JHVLXBEp2Xtd6sLuj/0Swl1+lKPupvwj6g2mogUfkDB1mTc1iggfwwLZZn+JJiS0
E6yCqqQ0WqQUTudfI0LP2nkj1dCzL1QOY+NcIm3mFR8yraOYHUdZbRFEwrhbbGgWaOVCLf04y0dg
u+wHNlWjSyxkJroFXDMqncUoRq9/G+u6qScX5eg+RDStnQp10TAg9YkgSdN/VSSNx2DpCTjcmZva
WVr9kSHzYrWusym5bXVRiXq4r946KfR2tMqCRLEWXvS9n4XEt/ETx6wxRmezNZJ7bzCzkxghW6XR
EVO4XUVUSqHJ/NzGMlgcM7ePrU5/hBLPnesi01aySkPpSzfw/f5ajqGMlmPYeyeh6PhpSPh0llZD
d4pMRn5lV4otBi2DSztsEoKccVd99LCpT4Uv89qF9AVfo6pI/vBJmC8HTT3EoglvThDsIqXEMnnu
FORLHkMcs75Qb1UfFktbBAHQJVa1iuxBHEd52L6boqQhx/DKm2NnJDzBjlXpTVC014yK4rwSln+e
dnVzLGukoNH74p92eauXge6dD3YRlKjrF+FtWJfeMgkK3x1Fli2lp8s3zsTS1ehlqAJnhRT4aWfM
FiLK7FWPnzxzEI99rYa8PUHfg3db6jg5iQeaTO6oI7kKIpJfFwK5eTdBiqZ2LZ77n/phctaJlUmE
8m36sXdYeExYQ94IooPQzS2LvxVI062qpkbDemR7H5A8DNGv1HB9S1HqQTxDC3rVsSgIV8WYWce0
TpuruhNIOEAVLOtxaN/wuhpjV6a9s/Bs7QXOH2HH9HiGDoT2pmYiosd5WzQIc8I0GN0OBxjvnEba
6dLyrOpNqtGOsBS0iT4MHY8RJ6X5uawbWi48J8jXJKqLtwMucTmvFTU71JOmhup3/ZsB7uwFsePu
DNlv600Y84AtHWi/W9r3PHOnyaEBwubC+rMvyv6utKxhwUI6res6yhk6Cgq0D05TjZ0bJEXiomOq
apfF1MfDG9X6pe8S+r/sndmO3TiWtZ9IDc0SgR8/0BrOEPPgCEf4hvCUkkhRpCiSovT0vU7anZmu
6qpC3ReQN047Is45IXHvvda3ttRwt0UFDmKMVLVbkzG5wqr3UV1pP+tDrGx8nY3CV1B6X7N1+xpa
Su/SCLePW6xpIC2GQ9V54Yom22TSpoWZ7lSf6vdNefRkIeztbqksBwPB62LoMlUFNkk/w5mWVRKP
01FCKKjiUJhHH038cek3w2tuTPcy99v8pr0ScTV762saacUqhtcHx7WE5oYbz/d7nfpyfSDx0o/1
tDv2mQm1VzB5xCtWC8+VUi56JDARzirWZW11SK/SYUo/L2Xubxj0fgfbIbX4odRU1AYzJlLb3eRl
IIdqjDj5rAM0NU2J/oxVGVvmh3zN+QEHfZ7XZNiLk4lk/wBOB2zH2uuXWE7q6KyPjky5/LNO6MuK
Oflln8VeHmeVbhWbRfd9wwdy7E1hbYs2cHs2mmS00ukMx5Z3pgp758454eo4ow+Nqq5YyAuZDPmS
eJV8YJrKL253+3eLC7xxhYxvU4AFxxCVopn9bJ7RXwZVtk7uJtAL/7SHcjomY0RBZkFOvuu3MEUt
8ziRQjaU0IMynp8KGDO1WiZ25JnVL2C7Erx+F19F4ZQcWJ4s79Dl5gcy9foUbSN5FkLv193C5tYX
OHIxBovhbkpDc6Vtuj5MC9UfdFmmXxPucDjE8+bu0k3g5oGmdR8lxl57XaznYfWJhG5TTkeai7TB
eAzCErIHOe+BpjeU9vpxj8v+pYR08j7vpfmAgt+dcLMVt3sUGDBM+XAYCc1u4HBHSW0EGZty36YE
17ueDnsXyAcOCf6h81LNNciQ8KBXNr8rY9MOw/W+32iS2muAShzqgJAfumQnAme28G1S8PIUwfOr
ndrT+9J1CZR5HXwLaAwG7WbL0n0g9SY8et2msJC0yxueJa4wbYhU+WiqkSh6swaqe4DKMt4F6Ta9
jkZ/xtd0EHqH6HUR6GCYLdidJwz4Zaai4YpIFX+yAbVrPfZreAvUx74MsXPzsY/HJK1JHxXXKZW6
PJBQTORK9KVq4OOme+Xgdzcl2UVRsd0QV4mETncygN9/vQVzgc86D1ejb2biYPREXkfreUpncZ/4
NHgsJjKoOve6l21PlH5i3eBEC8t366/FwOXQBHrKACFSGgXHwi3L/rSVk7b98dJ6hA2ZPZ61zfGp
ybXjVxwzuR7rqEDnUmfCUncLtYQtdWKj7sNa7HKrZTjmN8D1aNSsEVrEa4NB3LxmA6Y/jXNEK5Pl
aJy6CVjRyZm8uMpiH07sw55sNHbV5ueQ2KsYh114LlM4Asd53Cbd9G7J7DMJOs5A4HQj0ZUOaDfy
OkiJfx4SUDNV3Kfjo9yiYD+uGDRZHRZzHN6shPmpjjV0/NtixHHaAJDbGwll64rFZqjxyEt+ZYLN
L+x+3IKc7Ak+/in0ooFOI/iF0lJxJu6NSVlpmi1n+RhDYF8k7ocS9mZtoy0WbRrZsb/hPdzZSkyQ
eevd+HmqErHB+Cks46dpSDPZdjAKb/kAmbRhfvCnpEujssnLsC8giTEdnXmnFexImxVbFa9wv3MT
m7sgI76oBaPpUhUpTyDFQbN7jVSgvzmC1iTRaouPUtIoaTvXxzau0cL1gazhzQNFW6uiz5+2IJUF
GjNbbsNY4yQ1+AcyDAbsG8EhNJd526tRVVk3R560XBRR0bcq9jLLbqPA5fYFZq6gJzaX6efOuU/7
3ncvXa8+dURlrMKYIJ5XsB0tLak+higeIQ6JXMP+KvbrcYvHO50M9uB6TWo1q11VBTBNVQmRiWc9
jXmjdb5VthxSnK/OiK+mo/uhkCNsvM7TWziMZVhHflnnZkexSR/I0ifPBQAi3QwOWg+uB1wwFXi4
9VskFX9U87SU7VIU3c0iJ/ls58V0rfWdo2eoxl1RBcKTs5BsbuJpHg98ptnzxMOoJaaX15xmwW3M
fXodK5iWsltgXhOMRU0cU+xet4U97j6OxwrPARlFExI3L62KcnkHfnA1Z6VXWpFlDX09847Vab44
VZFIUDCkACLtecnx5toNIvfzTvFoKQrfez4y+GuNxk25VvvG9R2qPIr/kPOxGRj6C7wE+oSqMxxs
QfLaTqp/ZUMXfYLy5g+AdshRhkQcClWwh4CFunYi79/CSbyMDCRYh8HtUMSUvcs1NrLKEinfk5Dq
Kxsn1FdUe1bWA8TRK6pivOkuhMI9eFdj2E3uGcaSK7dGw1feJ8UnTrvojUfJeuPg3DaZmuU5gWT8
CvE95pczzasqYeF8m1OaoG/F4Xi5CNOvKb8Mw9skLlXbx8sX6cpgaMd8gBEKMVnm5ymbBlkvevAG
XtMuIRYWK4vqZMQ5UuXBwLLbUS3xl77vDa/iEa+hYmPRlzXH960hf+Ga6DeVnUVu46IxPUBOjV6L
d1dCSfNRYWrra66SJPyEwrvqigTl6k6B4XljFAtOw5zFLxdu4BDtjttq2AJ1n2WefbGuVCgPmDwP
0lLQUJJmyQ2sO32tNkAlle7Q0tz4xaovPDZ+qBfIjK4a3Oi/GrPhXsFNiTnNKqiY3xxcK1fBkXPt
xFxyBZG6AzI1+B3NPLDR71i07ehBFL25TjfMb1WAdsQ0I52DrA1mAeY33F32apZxfC+U8zVfkqUZ
w2AO7+xaRM9w10oCKgg9XJWbtR+PK5qqK5x+09r6ue8ZWjmC1hMURyDvkn6NgtrSC4m3iTBTrVYO
CQMQKbiI6rQXPUu5O3Quh5UieM04mjTdXsZYV9NtHmL01MlE97dpsRO/j2W0Lg2mCspxpJFc7qrW
ke3G7RiEMZvS+9wmtKx4NA/J5xHYaDDVLig9owcYZtyHt7yXuSQ1pm2fqsruvVhsXaDgZlvTw78q
x8qC5k63ZnIbFfx6K2mchPViMYCph9FBHUoqD8yb2IO2ah7euo6nsmtW3CqwUZDGSSZdOT/L3Bw6
9GrT2fY2EL8t8+Jd1vbgn8TUZjO8tmcaxvBejgqglJkavaVByB6YVRy/hzQALmUZSGZ4AA6YO97+
dxGQIsTnuLBpa4jqffaWwWXqn3+ItYG6GA5mJBdpNI6oV9fIN16se/ACFx8E9+FefOtSGvr8CK56
x/02RwsZ3q1a+6CvphJCV4DJlrI1R4nAcWxebQ9BobwxaCj9XchIuKW17RY78+MOdwu/LZQ8JtmX
pLSTE002GrtN14nF29urQYKyWGpAL4mgz4nJ1JC3OUDVIbkKrZ03CQ5pMOhxMDt080GpkuE8Doxs
OCik2xgwF1p3RXBibmRAE1Wmx8EUYtsUVFgHJXWogVTZcU3bbvLpMLZqBXFDoB1MsrzZ0fqVLQ3G
nMIFc5QoW0XpTNK22PYkPcL3E6+qtONLALrGVLFE+KxKLe6dFrSJ+BZOHF0W6Pde81bmC+kbp8Gp
+GqPZ5iPe2633yn7KzJ07gFiqTtBBx5uZEiTmse5vWXRtolWJQKwliMwglUwPjPi1+I8o4UrqmRS
W1r5aeXTUZsQFKMv1TohnOP4N7WHlONoTQWtctRR25hk356WIVg9GoRgbNGBYkKkTGXZUeepEQ0V
pf8S7NRvqoq6dY6eSj7wrFmxPv+rxhpkXS3MYTSY9sBhGtEs6lu0E3o52T7j7lsX+Ivigo46nuqd
990BOS1Hg4OwUQk4J57JVNMwlbJNt3A5RYss3kc3ptFSFzTuZA1BccgwoRbbcifKPLRNHGbWvAF9
ADYBhhWUXQ2mY3ZokKIYXBHErbsOk7eo0hl9+K2H4earNeFFW/B8vAq6RQJltxnCFWDrlAC6EW92
acopI7CkAtMfkVvAL6bwXVAlYOtOsxpnVlsIZl92AAu4Nih5tEEo8T53dcgj5R82/LKblNCStAxs
xfcA8BLEQ6a6mwDH8PIJw+XaPxZM6EvXlcTDCR1MfqXTIhu+4IhMtmPiUvYk14TeApPsvnU6widf
rrsHrkYtlJF9H3ylhnB9KX1mH1Y99ngLiLHBHS6ExGlaCIQVeEaeIsiHRUOYXM8RRIuhWcHGfFyT
FDnCjC/paUoZA56os+eZdvJg4il8y/USVaQAh9jrcQehv+xbhcjRdodMZTw0sV0cQl3jBECeDI64
c5dr0GnLtAMH7ejq8XLJeEEjMA3Xaiq2+ACHCD4rHmw9LE3nEoejN0DeYaiMKoAXJt0yoymYtuU2
scredHHkyibMOlUcAEKoD6svDKhjM+FdggYoPqW6L7tKoAG/n4NLx7sgGD9V6Km3oco5JcBR+Dz0
DQo6A3kFueRhF1AAqj1XKm+5A2DXJKEY2n32+JouA04HbESoxiXqt3Xppzami69Xk23vBU4Ld+3N
pFUzzq58WjJtLH5cls0YCAaoQCKWt8lI4+uyH3kBTIhuotIRJddB0MdftnHgVz5QywNYPVaDAYs/
IxVjJ/gMBdnqIVuYros1HbbGrhtbqlGXhra2H8oR569OxmsWxVt2MPmavQa0V/4OyhVPIAZIsVWj
EtH7QEA8VAIgxp0EYRK2xZptGApIjFTDTMNMtCJi/Qeeeb3WqJvo6tCfN32i5/LyueX3a7JChk5i
Se/KUSRvMyiLrnJ2fE8WId+0kbLC8/ygPYKoBCjVOVzyo37vgjXs0Fv5oA7Qedxqi3jPAt3l09TZ
4KwZbupGD7y4N9bIK5PNyHrogt9AFyhOAQ3LVyjGQ4HLoMu/qHhPWp+Gy5PTW3zmeFJHXDNXrpdu
LRRAZyZIPMWylKcl6ae82UmAxkkMxB+nLHbjE9KyQ6MhbjUal3paz0lmW7Qv0fW0yR5s4Bq99XTz
b4SaqFKLDRGdzHgrypH+Bqw4bNIsNS8l2v1jlNLoiwSB/hbiS7Iq8PjggPy/IXNT3nqY/EflDO66
0n4GoGwelA03WpVGhhHug/2BdAFHRxOl4oh6oCeMGUvSlAXgFHz1zTrH+iOD2NGUHoPKjEzxXvk+
kq9BOabPrE9SUadQ9c9KTRGsMJCWPEm+bhbqv265gh6kv6BAceEaeOBIMb1hopVCPel0kWl2b1g/
45Rf8EgnsEl6Rv4ZkIDfmJjhNcBwlPfpBpRmO64xshpxk8jQm/4c2l6w/QyQezMvdPBr9jWbUslP
TJbCpDVNdWiCpnRZumocXhw0Czwt8BGMREMeNgDvoh1tYxluQ615rkN/tpuHilnlsc8OaTqt5ad8
mgwOlVnx0Y84x7I+zBr0eeAUmmDLuw5ASwrGCjgy2nhQVRuy0LhpgLGnGVDQXsnv4RxsxdLA0ASo
1y5q3XgPx3LoOGgh1dELRI5rcIYN0rFuD+dHl5QGI8yQ+FzrV1mu1LEGRmyJuQ+RocGzO8bkYmWz
rFjtFLWhSuwyf7F8d9FW4buoYatXmaIlq3bV42Q4UcQkGamhWF/eSZp3IRmPfeddMX+0QbfHWTXQ
kuPvwMIXub8OzIKB+ZptCx3z2oekLNzhX9hzvwZEYP4hQE2Qlb3s/CI5wIdfzbkpxMzBvCJfQ4YU
yU/XO855BvtJJ6ID7bmWbhJ1KFIdF1WhRwSRqhE+ylKbZPLFC/vd6Prnr+tXdxkvCxsXcsRVsa4M
5iG8ol9f1pBtiCZ1Q/GNS3XJNokf4IfgZMSFGEjYZf/CqPzVk7/8RMS48WlcssOwfC8rBv6KJUA0
LE2IvMR38eMnuh9UTZJNGtb8UvSpBQTnQh8g8jEwmJU/fhU/9yc8/HBEf+wB+CoVkjVdb/7mj///
gxT47/9dvuaPf/P7qoQ//3Q7fNVykb+Zf/qv8Hzgy2bD5W//0S/fGT/956u77FD45Q9/t87hHyxs
ePq+2NH8g7/8ZZvDL1tG/rrNIUGUAr/eP1iAv9vn8Px/rP29LEr4+YU/FzqQHI9ahu2G3V1/rG34
sdAhAPTxXzAPgYFkl1g6dL4/NjrgESoEAWUcfHgMFJZ84DqEoXzZ6YBFn2hdADflOPiRDMUX/e/b
/OV3iSUWP//8150OuJ9w/fzFBUcAPEKQLkTINyLoQqPL9fcX5oeEC4KumIXRhEbuscxS0SIvgsl/
3HlbKLSYmI7jp2TM3bGUKSYDt5EzrtW+6bhcP8DMFMh7IgaJnFh54kOIk4UyNtWThFNa5FPfctM9
dSo5pdyAXE0hkeIMfV0tf1jj1FR87co64HFfRTlDM7+kpCJiGqsl5SjQczrGz2ZCu6VUXNR70om7
dHXLhykhIM8KkzaApMdvIQycrUxeMJD9liiDrpjax41s5onJPDvOa5ZCZmRWPIFqs1dSlfP1VvSY
AfwsEKBI9qEBf+lvtjUvzgIGUMsgK1+lmpKDWWyCQV3uedPh47zTeRCjQYdf2zggIKIq/HyxU8Np
O+2hDnHwXuyGbM5uQl2exjF+UmGEcQfZjFvBUdIppFPmia0u0cSW93wD1F/SgwmVqHHByLacIg0h
j6/VsM6ASCFl4pclrneT8kORBcWVYCyvqaSismmhDj7u/HTyUxIBXlx813K0w3M2zc269a9ki+KX
VWT52aeFe58i+Gn9MpMm3BK0TgpdS9iOsh8gNwLricJrB5Rwf550wrlth1WWwVdUu6jYKznaYD/Y
HB1gZSe57HWYSegwQWpmA7+FbU/I+JV3pANT1K7lnPhKb25ejyJe9AmHqMcYPsEcHKK0uPdiMk9B
YUJTbUMgelNBMU4wtHZDdlNwHdbsopW3Ad8D4P6OgC9n6B3uAogmKmigSfpuP0qld61vJRsRLsDg
IUv0KxW+EfrVGsrOtE9XBZ1Mrt9lTLMnvSvwuVAb5RAwXqFR1Gx9pIaL4wRWuejuk2J3bj3AIw3t
fkx3pc0TgXW05S+oLkv4HADILxEJIWwEfhp3wvr4ECL96Ae8gBwGmL/F5Lmp+TAvdLJ1NIbRR1kq
/4jE5i6qjU0zpg0wsJhIgs43Q5SRC6+wLKQdEBl57Xk28CbeMfhXJheAQSKwZcimz9+yHUHqRs4x
fZrGPlA1TpJZVYxD3KQA6MUdUupxVAu1hfe7W3N3GINipbWdezlVkZmmqw3z70lOY9DC80s6hDbs
9qwp0NIqCbT/yIeRwCye8+TT3KdxM3aiu7+4mPc5yOrWOAUPBdDgesQLCG/BmGatgDfR+mncT8M2
qYccSPcr8fA7q2LGnpEqxbQwVjD09TlmjJ57GJ/nUhXBWsFHRh3vjM+aKIjMDn9rKvAr3zlYjiwx
WxVBs29BQ5gn64rpYS5VdyzmtEJUJbuHENh9oKPy1xDn0bnMaGDefz/l/1MQ/69NXT9r5aWuRdhb
8s/q4X8jXC//fETnn1/ysxJGeDwLnhQNURYbjhBKvjzi+38rIZ5djNUo+Q8akoR5/EclxKN4wLld
7hg82fjyN3+WQqyPw8Ij7DAp8BwepG7Lf6sSxr/Sr+BrywyviyCYjGqY/h2PKWbMZp7nK6JJCtRR
DlHAiHGq8LgNGV5L5UoUOTYXZrdHjuyNCD+CnUGPzScllg+xSM2u4eEnyHiNGgjLivLnsDmgfB5y
aA85FkmwaYhsrVYPMyHFvgoBAY9sJxasawBJCGSvcGcoemJxmPsxaxt1O404I5B1GkrIF6WabjJ0
xlcyEC48syHfbreU0g8smRVgofwtWKQ7rtIVl8gkYo0ZUzdMYIQQzNuoyjIef+jzYZ/qoQfWj0q7
YtBDIpq0CNTMazPqvUNuc8z90w5B9nOoYohwWBnlbrEDBUJ13JvVwnCyww5QpQvH4+TdePQOUfom
I3I45zgAijtCjGP1soXI4QYBhvBcbeZoNHe2Ci5bM3qR8pOiej2wXaOqQLfGN4bEQz06a+ru44xO
72bdoqcVa4ncURqGqOGyuK7qYOL5eum2vVq40A3LZveGhMj2SndZ5LXuZuXPXgLdhoCY4Y1C/LXx
GzbfzAg5RuNxiXMNO5K7Nu/UHFVLpG9WJDUvMBHYMASNe1UNfM3OOV2KV8I2fxOblSzHgaWzOfSL
BtzlcKk3iK1v4eOc8zY2wSSOiRlpjcPfw6NmpkBOgLGgzhyQkgqLebRsQospEA6ZOAGY7xv4a7Y8
xOu6tqtBJcCA47rDBvYHH3SnVFZHy7j+VtAh/LwDhT7wDHfjgdNBt6D/t88CS8DiAwJ92dFKr56j
SffXiJCObxKwYEVDF621CjqD3HPfhU2si3tEVnRj4562cMCR08M4GOGiiXzk2q4b58PmYLT1hSb3
HmXlOFNtUTnS7qon1BeVTARHOjcB/pL1Fg0YC+QZzHZ8NgKsEHac0U+4G0CiIJlJvlDhoqHaFuP4
sTNzjGN6sOdVi+IAC6rAkqqJLs9Qrb6GaxY0biv3BhtwoEnhDhjOsoCKDIjFO1J3eRndiHxMr3if
le+gleOjW/qconzsUdRkLgZ0EIsgaRY6fwCfpe/mMty/jEbQBnm07dUOSpzoDr6yDoKQsEoF0G+c
Cpb7Tfrpbs4Q5ayMZGyoYjdQNFS8bKKeype8Q4+zBmQ6AyDoPpr5AhNB+RqfeKrietmBtsCNPRoJ
gFQXNLUVkkLhY9bPtt4AjJKDnNIYO0cyGtHr33V/mxl1rwU6TazvGr9PEd/OMxqT2l9wYuc3Uk3U
fGXhkDaIzq11Btf3dEmLwhaMP/t1+4i8UlZPvCO+IS4uNG8gIOH3iBUYc69s/rAuwAHwYxFXspv+
Maf+pyr+i6oI9SFGIfvHY+IDlsf+7XPFL7Xx5xf+LI6X5/4QbO8rYO5fStDlWSY/i2MZYu8f1uxc
Ygl4PDbiWn8URwyD+F9gHsIYlQvPRkNN+zknYkNkgckuv/DiWAWXlum/VR1/59j/MiemeIIk8noF
YI60wLCIb/fLnAhdddmFCrdTVkwcgu9FqYfhtSZ3MWL+pMVKCXBJQgxaHFaTz6RCo6/PaSmj8LDP
YJHqHp4qRovFjBkQyywPcHJ3ttHkK6RIer/mORYvbRFkzAGUGcj9EnSYCJalhYuUNjuAEgAyCZI+
bbFvCoZVT6MYTHW/H4Molq962TT62bm/ixB1aYtg319oHCRDlcLdbjUJFWux4X9+hsKGSSmcyYx7
2ofFZyzOy6eag3hjlcRKdGRhFeHIXHicF/10Gop9+B5EUfd1Rcz1FoJj8QY4kNmGBCS96cVIWRUV
C85r7E9Fc2uzLm6R3MkesGBovHYJYfeD7M2tw214jCjb4SFRgKPSON9CyAN6V3TMXc6ZrvYehTDQ
OTR1IYivAFeFlRuz5KXU+JijAMB/haM7vJryzraQ5dJTHF/SwCCbq3RII2T3iHhA9j2H/L6Lx3Af
JSzWUt/3tExj+Gt8usqKWNWs3GnN1x7HMIlDcMqluJ2KqEM0ushX7IrgamfoTcKPUVGYGyvTtwUY
/HO0LFN5LDEdjw22YXUAUxBiPMKQTF79yOMDs0l5FKrDTO92Sm8hwg7NloS8FgCLbrPMLU9FLkvW
5jnNrhLI8ZCx86lNRfRUuAcwbhN0zHQ+pl34kFp7oRpknNxFwWLf4TJ1L1ok/t4tF5Jd5C32M2DH
ieABCB6cv1ABxysI/fSGKDY9ZqFJb3kafxzWy0YLGXJQSnbDtsqOPm82m9s8yMRpDSEqysjUnDP2
REHl3NtgKRrq0xXGkTxy7FhsRYozuLehbNBuiKEiTgL1AaCHoVjw38i6foWREhwkMGu4D2aMnnCR
oyh5P59Ro0S1jyRpozJbG45dKk0+ZY8SVxvoMXIN/xTb6Mo5b4J+edtBVyN6WgSHPs7RwWEvzwlu
D4JXFqhDZIHRoagHbwhxdGc19vNTNiqFtjAjV0W5zA3YmK3VEViUES7UXeJmXDe4bLG+JAcKpUAo
Y4qH+XBZd8RrmOlZi47bP22wkirXDTD6j3kqti56Kenoh8NCojVB2Y+w6AVQ39p3fYkeDelOVW8g
1kFYxzwDDI5qlqWYHnkfvYK57lgbZmy4hqhePJqyp/1Hn+7CIKvJxuQwERmATs2HDT/fIfJabvFH
kiiJiB0D0lprMOuXpk0G2Zsn2OJ5XmWMNm2UO6q1Z+GewkaWgXbPbhjS9RlquUV/0nUBS+54Ejr2
DtpC71MDLGVCz9lnlwSBAtDWuAVx6waXWde9Y6FoN9asjwb8fgIpcHmucsNQC6Oog1A1eLx9MANF
14xsKssWGRXDuxMyAOm7ldNqvhacRDx/x2dErKvGi4UE2iHJPCo5NxBEJtC+Z4Dg2KpXQV8w9MPE
LSJT4ZzEeR0bHVPcWJFv/zO//r7l919U6ggw8T8r1P+NtUDT8nn5qwj842t+1mg8iQRxEGxPJQjC
4+mwf+7mxb3yX4hmYucrqiNWWUKe+6NGJzlWNaO2Q8NHlf5Fy00SbGnGLU6gDf+o+v9OjcYS0V+1
XOzRwn/IvqFAI7H6dyv5sNInRgNq03M2lmDCM6Tg9GTccccOrauxm7PTHkjsr5Trun1D2KK4yXgK
bqmMovVJSotc56KCz2MxghjKUnK3QwD8kKMF7jC75Vipu6TFXT/i3N6YGz6IJUOqwboBamkefZKK
Yl8AK9hVGectdkbOX3A0s5MPSj1UA1s90Aur9q9YfRLUA+2QBKGex8+IyfEr2KPTNS2S8WiTBQSD
mW5lFg81GSkcNSb6q8gtwHcHgS0IIsgT3BsdJNDZIgaAQ+kegu54VGNJbralcwywpI8ffWAJkiY8
vI22AXgxEt2ucjKZD3GBGRAaaPcWkYGgpvCHyINYoXH0ASiFbKIcPv80g1SrQuxD+y3ZNiACYstr
nE1TXGuhDdJaUVpFDOE7qPygCTRmmmM2hurbimn6kEA7reZBY0S2kr/MKcuxpW1M2VEJz04I+mDt
QrqCgyy2qDZRbKENDhSGc78+GjnsX8m2bm+XmvrYIWJyArKr7/KE+Uf0pVgsAb7hAALTXgNsmr+I
xPoGrFlxUG50xyLieBud91XKpxH7UVaEDnhqvwUkqQadbXVC1DW2355TbFlpLfY9YYGIRNHNKERq
Jc5BGZzBBvAG1uz+EVGd+TjPLvutA6IBjMYMwJfT9YgtKfQcYx/qA5ZS7phDIade9fAHgzbZmb1W
EPxeu/9h7zy260aydP0ud45asBHA4E4OjqMVKZEUpQkWRUnwQMCbp+8vSGW3dJRFdfa4BpW15Agg
ENixzW+WNPgkG0FbHRkUUJJi+qDGqbkLIjelbyjMq6kzgXwNwF4/IsLVXWaDWXxwa1cdmFrbwWZC
lOnozYXMNnnhOLfrItOrOHbX/SIlqFdD+fI9IqgWJWdPapfS+9X8IPMmaNkrddyLKMxWt3geaNpf
RyhMHyHEOBeiVwWpigAP5sv0sUFQ57qKlXfLbH09zskC/ssYnQt78jRJv47fIcfR3WWrE4Tw1Iqz
0hjOVBVp7Grl+dd2o+xPFQOcqyZ28zOUgdQxywrwPSVYzv3kJt67Qk0XdjK5bMemPRpmD3Ii7p+S
gcEzKO/c2tkqkk9wCb55zVyexYsC4b6U3lndRO5e+srfLrKyHxw3f144juPQiF37k/Sru5ppxkPX
qQVUUGXe1okQFeN5xCSQCgPNqjVxr5PR8qxwQrPhCSpDdiPjvGEAzEjqmYFvcqhG/lG8psW9n5IU
jbSDd+aYlxdZzEucHIdGzwAK2UeR5IN0uh4cHCKZmz637vq6OqPWFOc1YIQK4nIIWbGk3V9k+S2K
gMV7LyqOggTjXERrdQYOgJm1GnJwBoHzqa+D9EwiPrGnwd9sZdeDsK3m7L3qTPfbCsowdPIsCdcE
IhPgr/wRJuF8Lytl3Cq7rENeqETZIsmhjIB0uqGTvZ8K0Vw0LfCaMAj2Xp+Vhwig8RUIgwIM/e0Y
ReOjgXA32luOdZuZyMBUqPx1YTGZ43Vlju0zDWjuxDW3AJTlAWDmvBsLazBokzj+Y4/KuNoocu0U
SMBSowyxxO/Wrs4PxtxDmVwWT4btOAs9b0e6IUbpeKjWjmZfPQz+NgjG+3hd3GxT5AHAHbpYhLmO
WUIxlOtFDXDoaqkihHQs4zGz89YntaFvQY9eksw1Zhi0lQgLI/0Imto8K0wQNXSAmo3N8OpLgSrJ
RVQnwa0HLu2s67yZRBQlmdu0N3JIjlXo0al8EnDoDhlN2RsTxlwfKjDH16Nfm6EflWuxQU5G7GDh
BA8Bp8b1CvnuY+u76WW5jp8DNPeOnIhrSJd/vO5iN2UrTdlll1Fi9aSHl+Xgtjd9FjVXmTk1QIPS
Avh3qXa11cV7KwBXupLW7byucT7mU2kfRc9TtpFf75M5s7+tMh6uJjScn1yn0YcLvJ9HirD0Hl23
sdiINA/2ThbEB7CuYBeXeAoNK0puLCsliAc038a4mT8ww+k2VeKt22Xp1a6bbf/C13iI7cwkjPFP
NrHRaJ0FhuvButJToCV2hkMFuPosD1Z1XwwQHS0KS2Tn1pt8dNydGpEWR+XRpG4ajIr8N573oqnH
a2uM7fPAivPPAGjy7QQVejMyErpK+cQv0C1WRwp6ZPPypg0+5UKk27KazMciaqMjkSk5i3p7uzBL
vlmHzHhWENPPFbqle6D53TsrrYozzzVQeEHy47ZYJv8+nhgqWmZjfkjGlLnRKEHSL1A49g6tvet2
ab5UAOaezXUg/A9tv1J0zm58mIFVbVd46FTyxoVXmTaj0gpUOcIdWlTf2FjVAFOuZOZ7q/t8nP1Z
Ft9RSUFQywZYKSEj2v62iZviWCd80ptZyTzfrF0LwlNGfvMdva/8bCwSe4N8rnGZwhCBYVPejGOV
H3tv+OS1Xrwh1jL+9dH/+5L3pNRp8mRGw3dZrJ/Q7X1fWQC30I9SXK8pz1oAfDsEDu8oiNW5SqS8
G1VuP+TZVD3TK5k/thH/cKyEwVZPFzrS5yrmKYZz1XTN2B/ofcO4uiLVAtkF2BW9vV1q170LfjdN
LmdUqYC8zYN/0/TNIh47EX0fEDdg0DtOvDjIn7baG7DYmM6aBySw1Hoogfxcpaox6k+KAEruFYw0
Hyj8mxx10nPfyFvK3cyGUePkF1a8VOdDm8pP3uI1n00ZxdlNNCfFhUw8q70DxJlEB6b0Ba18KB5A
eBmbedlXP5k7495rotnbWQkqlxBHITOdNTJ1tpVhLoc2qKv9KLqPHfoxm3aOC2bAvElcAT6CI5mO
IlXI6pX9cM3fnPcBoiohtJ3ztHUvB9pYsCyN2tvkUMgeAHIbR3KR+2pNil0ibHnOCYKOlpHGsEAL
K4wra7mm69xct7zN87Wnr5qk05NWTzpvA90Hco3hYFXzAh5Wp1uoCA8o3TntRZqe5dEeEQ5kBOuo
P8IEdsO88dNDB3EjXCL3tlyTbpsx6DtbXTQhIXNG521pp+e9Cd/RKnCokJa6TCIBLQkRkc+DI4oQ
KOpySJsxBa7JpBVmJW3wtKh3U+SqGR3onIMsUvC4eM3HgSHIpi/s8oAvgfndHUCXhSpXsIGYyTjW
V+FXwv9I+6eS3TPD+Cb37qOGurkP06ZImVf/p4j7XxVxzALfLOKKJ8R+fynhXv7FXzNIO8BfxUbE
Gp0Y89VE5bXNChQYoA7GRoHt0ecCffbfFZy2VwGlg8gHyBvH05Cbv7qsHn/E5JA/pTfq6vrun1Rw
2jnxJzDOq8OK5aHqQVbhog9zgnoDR7eUJQIU3xJzVdn3olwjh1RjwrwDKk+f2ctDhlJdv+8WpwCr
2qEU8zwz7kZPsfbAAeyV4YKV5wNBVQmIAC1G4maRJ/N9a5aAAcLWVWIVIPoYORnkdCMEfJhBA4wA
iFJDZ7+jy6cAycemMqb7pB+Y+CHsECOi7kJDgEyxDmQGB6eLIflsZthEAOGKiSov2lcj3O80XLok
Qsz9pxd589pr/hmrdCKY4woIG45N65n/eYCjTlenhk2OKMPqfUP6bwwKpI0lwGXAxI6TXwUxAFsE
CjgCy++NaNPlDsyV1sm3YbLyPFjXxPP927dk/4qe4pawirWwYaLkFyS3pzBFmdkz6r5t/JUzHFU2
5YLdPF/RuWTemhgihWtbcmpb1CsJTAuQ9bPKYauaCs1lSKxav1pSqGfnhTmSmO/WKF6H7VrMvIpd
36/J+oBwr67OxJo34npdQX8kuzJwO/IREzKKDF5DC9i9v8eE/arCQsLAIlPcBz5osEDwLfza6Y+S
fE6NvKi+mRNA1g+QyYz6Pf3ter15e/V+HbjrCzGxcAF6egzFfa7364WWomyCVczRV7omNmRMVUS5
iyKiyRc+k3q576au1u41i/AK9KoVElDje4R1kMF++07AEPz83ek7oZviAIUDZUAb52S4YTnxYgZz
Jr6Ond+Ka08tGdjelvmhdM7jTqzen8xg9Jf8P+MU/ewEE5eZDZvQd37zwLFJ1Dg9PPvrbMVd6n6z
FyYUZHdqYC/EdaMfu6A9jdz7249q/f6s6JPbpi88BEv4pk5WPWPCnU8IWX7tCtcr5TENouq+gOPb
oLCI0G2s3s3BGpnlZZ1SS6D8OSb4LmSdVAhdk2JHcwSvPiqDW9BnkuM4oRtSXOZj3NKgGCYXX4Dj
2zf925b0HMGwx9PzJ8meOblnw4oNWK3SeS6GpkVRuFmUlk4fmVwgI/pPr8XGpyst0AfyOClOIL6I
66Jnk+XdM8DmwV83mSxQA2eMlLIl3r7Ub5vA07gVV6IRQOuOqdKvH4AV5L6NcUP1XJGDsrhI3Ob4
RVgL3e26LkXtwGYaa4TF376u9ft64tzBNNFH1c61Gef9euEIaOqsWs/4snoMztYwgM0zwF7yFSpo
oeUUUGqPfCa5fEJmA0mBbQNlOFD03WZ7vEtRWYURgJz72uPsZWXUWpXAk8ArF7fzt2/fLW/65GPh
BqX38uIDPRk93bJePKm2HNr6S+Ij7ClQy1j69aaDuc/7WRczXsZD0CnE2RFjTtkfXQXA1IDIuiwE
yyB34+WZd1lm3wW2SvyENHK1dOtouYBFXwMwajpEF7K9mHw+DuBYwACWaHYwd+s73o42puIYBl3J
tHKTlJEO0UaHV9SytReE4G9huPTzp3XRKcSmmdeItQDfpomg5ppqbVXbbTx2bJNM6XyjhJuV38TE
AMcCGBp16w0bOvAeq7Tii2txSOAeKS2DCuIeTLFHSCVMsnYDgxacUHpHjne05LAX6DJ+Bz1eKLAs
SZKImndmJzNs2E3pJGm+hBlASc2g8PkZDqK1WQazbUkqBk/YX2Q2f1NYqdYESlFWLMXBG+ekv+0n
qcFDSzNry4CudTNcCrI44NJ/aYoyGeFqBv0pce3AsG4+kZ9DBYzcsUmvCrfy4WhY3VxdJBAehvMB
Kjp7aYb2ztKlY4pLgw98g8MS0y99ZoKDtQkiIHR7pjO1WymUUn88gJf1L0ZCEt5AtjXNSKtie2bF
9gPyqgPmD8la8JbaBSiVaimBIWm57b9+RkMV1u6cFGGaJGTL1VDAnGT1WIPBSbU7wKwSAjHAWJ4J
Exe9qm6eT6yc56uBvzBNfZKfV0U7AGSyEmCu5c4xJFnboiItfaUW2fB4hC69Xeqg59RykIhl02SR
yMr3Ve/VEraYA1xXbJAEsPmmRqSj2DUxCry8M2dmYv0dKoIVyX0f97nvnBvunC7PTQkORoX1PGZc
3yPeW9EHvzAFa7LKwS+ms0hUoxafXSuduwGgdfizRZAt8hBZoAQK1GhGV8iUo0LCHUtwLtxduzov
Dkl2pPdv6zQujxb7TuOM5wGkPH5KvdQgoLYDk1B+BapIEo0h6vbc0sLT85vTkOl7cQOYQCIUjCaX
58VvUJTcOgjxusdR+NqgLitTX+dtEQPp9LrT1IvHdHD5RRg4i+b8ZG6g17hBbiL7PjAYZzlXX+o9
V5ACgoLpZzT3IR0LvUV1aj3eKb/iv43lF3zAkhIPD4xuXckykOTlO1/aZdXBI8lJxLLGafUnjRsA
P7RFdo834XXkjfDzlOWMd0wQUEgDO4DJznIcZ7PLyitN+eQHNm3Xcn8ruZje1U6aavYOvSE8sGa/
gLfGXPUOz8NU1/u+i45eiBZXkq17ZMz2tAHAxu97egC0FdnbBch6+kfrjbcgt2GHfsc4xd2B00Pm
g6MPiv+1YHhOgZqYfUHPTyCPk77DYyCN6N1kg37DVYpBlwUpSHajcZZ2ZpEum7lt+roL56LrjAmt
hg4ICSozoOieG9dPa48BGUrlSA5R38b1h6Ck04yiSlcHsx8KwEdTsSMQE252vRNn0OliNdRBwPz2
RWsX460+OUag7EEebfycMCueV+BcCLwSbBeeGaWRfKUJ1yZzksSXeZ0Mlrzu56DTmydF5Y2dCOYP
Vxg6anpfmgNqL+DcnRRFiIt6rVf+rLHHATHl1UOD+6FrKlZpC67eQkRqNg1raK5hQNmEXPDVA2+p
slxU/ugElkz/w6AxdRQcdA+GqJMiyD3uzV5N/E1KGMY9m76NdFzKzbGcb4M+0xkhZJuY8KTcWbB+
PYBncT2yinwLlt13bKixaZ2l1p1BbUfkozzi0rMAEhZfJMyiuLSLfj73T7jkOBoXJTnl4ZYpvjwa
6fqQ7ftBW+7Mwktrg0O5XYgPi58Y7rvZXHA+QE2h9NyjavqKR/Lrtm5By9g6W0HBM1+egQ5Qjfyo
Q4j6enEQ86Rhe8ghEDcYYSbZ5Bhn2MGsqM4Avo23TTRV0c5FDav58GoNA15Fe9KMyyS5Y3qhBqtU
4xDCh50NUK28o58OegV/bOsynfSfLS5EKBufy1knztgO6XDfQQxcHyyDXcmwTLZBO23IemMw/wgb
p3y5rh95EvZhYkl1baeE3W0XQIUDzrFai/gMOrRoP5jlXNz9YmMCuHbM96IeB/X8u5cJqlVp8zkl
5oKX/Dc2JlAx6X3CJ+/rC+V4kwL1+0dLk4JjFe2WfrTChnf0B0sTVy4FEyzVGkv/6Rdjk6xx8xkc
bmEvQEXe8DcJkDA3231kr1N98epyIvr8aoLdo/Y/O53EmY2kUSpFL8+7Bcrl5m/8TqC3Sy3/I210
3t5wPUGx2qrgdNBsTcMkcjzj5tUBZeiaNqsPppKwG3a/G6G4htutD33Frt54P9uhFIgatepABy5e
5405SiW2wf/FGwU+wAAiVapabrSJQG8e/oFDSu3ng8181OuXFWEGp3eM+Lq1eZjs5kf2bS4Fzl/v
p7is6a5OdaoPVIYhpfLup8VTyt2qaGqRV6hNMyZHQb4Ko6AuYqqh9mh161wT2dSMDKrFGUwfKwGB
hI+78XX62HKA8zkkqNwQGkqABISS1FjAhe6zpZhiZi0OxFD/Ym1ibYMFhnTk6PHguHLK9BUoMyYS
4LJ6tOo9qOPrBnExXTnIzFq52+XVUG9oylQ8elWHR8bBUuDHggNzH3oNamg8wqTXdWT2fo5pmH3A
JJwseDLJ3QwkzydFLMv8VB8akTHpCRmUcM/cIRwjVueIqD5OeMfKps42zsqhNHlQ8hKffhPigK0O
iGVhc0ZPkOFITaYl6FkgmPb65MS9Y+ZO2ziRXHuQq6zXDyPzFv4MTvjMD9P2ToSZDq9N7r/DeYSI
krtSo8gBHgbcUUWz1mqfghZt1vTwaj1o90Mrvkxootd7YWeyuozrbORY7JXSuVSlpE5ZkgCgfwBe
txK99X0wuiUPtuisQSEHFV7RN9hIFc2sbWC2HstPDNeyqfVLu0fgg8gp9eMEA5vEOoIu0x0LEYB5
gGfjRNo4U8VuFtSHJUU96TsEKhaWMJPpOxiwzWH7/LUSa4OX0GZQzkpGKquEn1iXcH/cbW5Viw/0
z0ByPA1TkzzgvVfOkfdYQHrPkUTVr5ED07IeKP+G/s5nEMATO1ll8Y6QQpBQ7as4H6fkZkW9JQo+
jbn00N1C2CEupzOXdHS8WyV8YoBOq9LNp7YF5ZGcKeht/Cyzz7QD6GQvuib20WMSjyX9OmsO0wk5
mH7r5jZZSoyQK8flCC+r9Y6mirvRv1n7xK7TSxFJk/tZVld/Bw6KKzzqmJNk3hWdqz8RBHN1wwsX
Zf5CNIIefMqsgtI4bSy9wZwIYxz70NgSwbZt/Hq6oi0Yc2gyoCJRDR1HkQUKB2UQLaWm9yP4/4zM
2mQFsu/RqsGsIb+v/zZZCcT3qfAlx6WVcF9QapmRcS852pI6mXeUvtvXzyPvPZa6GKaal9p2aPqX
aPg6Y/wZ0n+ctkfIlgwuwrJhLxRhupATZHu3dfXeLSo7qK7KyYrHHqfqzreGc34AM9VtAdCMdzsY
Y8m1qhXxozvzxWM76yydWoM1pOSLZZC2T2OLgUQJkHZQPcFlmVzn0p2sPq/Q/LPZZyV+m6wsM3Iq
NrD9+oVAsCS9pPDkPaP6s2LYOdnUTwJZB7zlZpRl8qcxsWYWJXrNfLrYHMk1utpneHRIZ5w5lt2P
ithfK5ge+zmOTaqvKm4cfhVTs6BpZCDg+awtG9cbABSmGUKqSChHEDXDk+DoC+UMd2ItHAyCjMli
/Y0k0EU3QGmdhbWzpYt8uNY6kY9Vzf6IuijmrfUlDV0UYn1jDcK0HZlc7xGUrHFZIwkhBqxWQ83L
3EtVU6frB7aT8Lg8rb1o1aFSEZPFUcFG7BNAtDNb/wieOqFUwXxleX799Kqx0KlVYZQBgsKYP+EC
te1HhGPZGEjQcptG5Cx6S0rTn6p3pjvPVcOCrLri9jB4ZiEn9OH4xFdnitWVELlL8rpMWXzA3XEe
bsUsV2RjAT4XR7+zqSk42AwX4zOgUCOhUxR5zY8J3L4lVmVNpTNRu7KJ4uH0WjXOOVPM5KzJRosg
RcI/CBScJqLzDtELXQW+FhZFtOqbrrEzWeKQr2xBn7X3VypeF3QEG50iyWT3T0nFQG4HZ0nf+lDN
nIS7ORmivt8Zc+XiQ6JojvAXwWOvN/gd6YDV8xphM83Y4aQvemPdymQgcTDSc+pZV+gQKHXkCOZO
J7qlletd+XbX6G96Rr7pIO/NQEd61mnLkBk6mOqgmL7MUa/rTACyReJt0aVsCpyCmHPzSt++5GlX
jTYVUBEPLXEXGUwSp1+7agtqzD7+av0XDyMWIvzr1ih8Q/cq/+mlgAFg1QfxzaZ5fuqfiYGiWke6
E1+Q/tPxqRauM5IUEqyJXW9f66Ub+HOvGuoBjVfHA8KIQdxvU6nO1Nwj1Du+zE45UMggsGGzE73e
hbQcJm2pzV9WlK3yp6FywWxsBkQr/CJUvU3dTRdCTzYCSl4de14j84/ZR4Uekk6RpAcH91IKSNp/
6rT/9lYcut2WGzA0pxy3T40h5zYq+xh9jic0SGfugwNKl4UcrpRQb6/Ub3vOod8NjRALCfqq/mnr
mDQqxdNTqKcg8WGEHaMFJZ8HIHH6ExERSIw/bbnTEYrFi5HaNp1rQg60T5rVbdM5fsys4AlrNh2j
kMujizikRPb3sR3oMysK8DckmVj49Tcc9sz2HdEOFNnbz366zExN8SehScuY1LN+c3Sdqn4epyB2
PtOToG5eEhyWnv1K6nL+7SudrrLtOSZP65gYIDNBOm1e5ySGTNwz6zPEc5lfgdzTpTmcPIdDPrF1
1vj2BX+V4GBAg8cDbWeGvJBMSZr0o/8kkdBDkCCYLO3nFqkidhDKxzrMERS1BXXUNnDiERiKlyQI
Ze4lnIxv38CLyMfPXyCpljbbxhZN+pJHP40sbgw1T8kKBjb+btWOWRbqDHQ9kiBDik6nLWOb6NRY
uK6O3z+a4obX65ZXKTAhS86m18X54dJO63/hK65xG6VaWF99TLHRqn1UxZwePUe4+TlODFqRSR+W
4zLUY43TIzyKBLklZujZtpcDzSML/9QpJX2jRbeDcZna/VnKaBkGX41WPJeBz6rTLgOtFqqYDkwE
7wwzPHIbbHz0Ea9Uq3h18rVB35HaEzVRm9dJE4qyLxmfbelkOcqQQqJr02EORnsszlo6k/aItyxN
lgolhfO3l/+3DSfR9jehK+IMAzTxNNgOVBaJYa7LpzppHHLWGKtXCg5wbjoD+NGyfvuS+rv95YUT
ahEoZEaDSA8iBScDGmZOi1adnD4FAKt5g0MaiPzKQ5MmN67B9GmzWbcIBoqo2cIJjCYsnGF+8+3b
OH1yVB1dk8iJ5zf/8V/G3z/t/Eo01cS7TD7lNe3P8xTEc3lv5xP6nHbX/8F96DSCAIHXBGzfFQ7K
Z653ssmFZcZporru86j9tx68TOptkWVo1lR/eC775JPmp+MMg+i7kEzeUCk9GSjG04yBfDXa91XX
m/42on2J63JMG5VKF6Q6p8OGgXfJ/0kaNuzL2XOCB4o1D8iloq1LC4aSR8/vFQrz5KFQYXSinsZU
KIkkCDwndYaaY+jOhm4D+L3Gjp2NvtBt4rxkOnI3GpbDwxnIGrlHOCp6UmSNpY7XFAQ5VCGU2NKl
2Fe1GbtXb7/ck/VmDWAUOiDEmUDi7XK6Bh4cLkhTw3w/lBiHwpKuGVXkG2Cp9OnevpRzsp/1OyV4
CQAXqE4RR0/281QreqqWG935bv1yLUg54jofG53qD4R6QtDr7L0ApMMqVHOlu6Q/fgXXXHcIIIix
uJ4LqUkPNApFpLNLVKimMyPHkGq97PhUUc+G25tPhwXpK76dvIooj1PMlShLfgz+mBbpIZJRZDbf
zgo1mD8b61K/8NXLuIrxMomXr60JyNO6x2t4iX6TMJFi/rEcCfz1tm9T3Vj+MULji2TvZsw8OPei
iC6Hs1mscqIF8vaS+r++Pq1EBWrAxDkKXzCAiKevr+EJRt9U0TPirPIRPyxPy4jY3lHkvnLp8Sfo
sLpzgJQrtnNb5UbVsbTz4gE+lwk+HslShqaxg3TvgrKASPrmPqJ+7W6KuRuTMPFH+5gG2W1ZSfN5
VG6nNqKFSRYyyxHvRi+qLxIz7a44kZKVaj0Z863RZc7HlTnyeA6tP4PiXgSmu6VrmD8Yq4EoT1/M
SBl3QXvjcirle7cwnCu5tCO6wUuzYyZePCRAE86RzGFKkKkew+MaDHAGPaL4DA7Au1jQuExRsW1M
a+uoVt7ZnM9PKqktpIdakdDCiLvugDRudTdJZ3hIHQdhNd803ApxNk99yoeg+1oYqv0g3K4jLYqG
I/IImKQwpABGyrxoDucpSI3N4JbjOZaWO6j/Iw2bJMs+Dr4QdM2jId/2U1vfwXGgJeZaWkjWMNwQ
LsOt2y/mFzzMus8I5rj3yeANYYLL+0Uuu3SHaGJ68faO+G1DkH5pdBqZCvOg39L0weuCOnfb8mtT
QYHABVjl8750UM7+Q/R8wSX8z+nE1qOesm2AGEFgcU6d1lazXeY2hP3kqzXVbCXHJopuauqAdAs+
FQaGXUbvU9gfCkdZDxy7gwV0cUC6TICr7kFDgWET71rRBucVOv33HEMd6QOSXg9lyZlu91WpNnZv
ubcw9qrvJUzSS7D98na0NSMwo3zbWDCLFbJI8TunDHi9hiwFTY2cEZU1BfSb2mD5mmkEZoYt2d6K
PfMJhUAnXKmr/lGK8LIiL6tPmqatq06hTDWtN9l4cfWVb2W+CWys5XeiQK6CT8YU92+/6F+D6evF
JCBFnWKRP59mgxEcR/ohQfVVmLIEnzWbd1al7A5h+PxqdJ2B2juuy1vGszL/Qy58AsLj4joNIA1i
A8Bosk9TApjH3ez6y/rVHfQuQ8w4OTgoLh3ndX5C0xbRTQMFgsGO8dxsWkMc3Wrx/uQU5ukD+pct
KDVY0wUPgmILx/jJgWLlUcn4IEHTecBUnXZam6Nl6clgC1lixRraLeejLHskh1JDlZjW1+Wxpm91
NSoBjh3BReMdVE73iKAwjTNYzJ9L6JkI7ObGFapF8hKu2KFC1/qOHmjxDvtyXC4Eg7ElXPuZsQs6
i1EoVSDfkzaONaSe9PsisvTakSo95HSKj2lcq3el1xf9to66AUnVZLg3PTu/NSptuyRma9o7dg/Z
20GY724qggSefGPyAMmM0ReUYUYAMmvgukjOxA+uZ/iXabK4Hy3t9Llh6ACh9O39pdfudG2hU1Hu
C6pZaetA81PWN9AS5r1LXItS17s2Gid7UCnst23eVOa1NVFL/OGK1q/AV3YVkioadQseCUIB0Lhf
L4nqQNGWHJ3fMpW557TNjBLTmsW4oFGZ7RlE9ER6L26/KscsHtJ47i/TNDBv8aFy9m8//e87nHsJ
gGUBjgKs/lvnyLEnQJbzlH/DmtKUmwBvjC/gCJY96kfVN7J2+XXtBm2HYHxZRjgF4BNHFOD+cBt/
syR4s5KYOWAjXarPX5cELE5XdqssvkWlWIat6JLlRqy4K1+mBRLr5ooFF/bGw34RKLgoFFk+JX47
qmMCvfzuDzfzN1tCyxCaQONsgHGnmNC1HKaxRsn0WyxN8QFGVffeLgxjCy4/veCIGa6HounPlVuV
Z8XsWFc9OHiauEU/36QYCwB5rXDuTo3B+Q42u/E2fpPmH96+yxONCr2LKBIIvhhqSjDUpzDOFnG7
zo95SfHMaIiOSx19rtsVY4imRAO3QbKd3lRZ4yjWe3R5t1kiPNYrTrd0uIIAyR7E57ZtLeQj5mSj
btoz/KiMLrnKRdodG8eZrwU0vbPYk7G7qWVgT5sOYT20oJVZItZj+XWIC7mnDgYbep/lvXEVCDTL
NjShjMuX17jME4lIhivWPp7Iu8LaSvPLkgE9tYBTom5UNAXaeJCmmL67WfHgjTQVyCK7D709V2dJ
WTi4u0i8uYkhDPpCQb/2xgnSimE5EE8IDDMTwV4URYxmglRXkwqgOtWpEiCifTT1z4AVIYBritj+
iJNb+ojefv/dTW0U8boxQ/Lp7bejxTNPwooAwenxiYOZpqg82dBjibx00LjDN7reTXzP6eZ1IZ1E
HEw66HW2GFE6nLoVczy/9ervyYpR2GaFEzUdHFl3D15QxJemnPJ7u0WlHkMZqCEIbRV8DHEmQ7cp
UQd8uev/yNrcLerb//9//1b9FMQHAenfq9psvxVP01P77Wemxeu/+UvQxkPsDQ1TE0AT8M0XPsUP
QRvp/Ys2FoqotBXoq2hFt6rG/RDp1OBf5K2wp8BFe2CktdTNX3o2PvQMeO0g2EDl0tJ1/gnTgg72
L7sRfDuVGtx7kgiQ51D5TzoAeTYmfDdBc1zEkjyiK1apLcMoTuJ5hT86y7bs96pZbooavAXmVGNo
mshIQr7kqx7TKtuszmo9RumAeH1V5SLkQJq+zb3Q4tIc434E97uI+5uKCcAGUbfPrtH6WwflqX0V
IyO2OCaOoHOAhw+LmB6j0vM+ZP1UXc6QRa+LzIMp5Q/mepRgGVGuRoX/nAiYb4caxxlsvJk6J22z
gdPWXsygMTaixOXQmL3sMHFzNlmFUGdI10RnYPz691UQu+e0CT9nsjEe06I07uKmEhsXG40DxK54
p8CibZTfqXdo44Oomrvb0Y+/ekbOQ0Y8qZXYt6695PsgyJPt4jmY/2JjfAD+8F1B3EY4J8DBoqKi
3uF4gSx104PWWrl6Mtq3AkjjJpX9VU+0Q8HGvk0t/y4ahyvkUoAUk+JMzWpdzkxQ4MBWI1zTSf8H
OPpSXrq+eqSfD7bI6udzIHOfA5QjNbVyo/ng+ZJ/bjzN/a/rDwBW10/wGMytovrbUhUP+8FcxpCp
VMgWvJudaBdJ1NEQkde3AADW40dj6uUcACGY75zcMPbIldUf4i4oHuplcB+AUWI2VxUqRDbGwUXB
R8ijp7BNTLxOVnWD4u8K9NU47xk1PdVgCe8U41EyZRxVQkcVO3wdsVSZQN75q7/xvb55hx54++jm
/p3o0hr3wBaQRrdAX4twgFiJp8egET7WZP59sSoDR3dnusfOJD534Z/IUMZdeWsH0fBsmCQFoWxM
57bHQO26TJsEqzGwwD6ktmbdFUn1wTFQFaHz1CZbu3bed0WP7pgfVVvqZEa+fDmbDFzuNqEJCwp6
boJDyyw1P4uVhWFfuqDnTiHKzHDEuMm25uGC7lU/7KfW8O4l08MLtxTmZ5cH33YL/mFlmuHEAGix
rvcWmkHtxgEdcwHMz+vPaqjGCBNm/fId88vVQFQIe67vSyCnq8JuSZRjZo27AgIjAoucaKrMrNfk
4T+B/g+BHgITB/G/D/ShTmqf+/R56H+O9a//7K9YbxHQyd3p72EDxKiEsP1XrHf+xfxEmvBdmIq+
HgM/gj3iZSbDUjrcZJYvmmf/Hexd818EZU4IJLO1P3pg/ZNg757MT7gIgyK0q5jJWRAJzNOi1UOv
F9ukdETnNrbAxeOUkwBaYITZPy4i/+LTZcAuk5BVAU0P80x0m3le8nPfylVo9v6dP/r5OfjA/Goe
isvRd3FiMgQ6D62zKUwEfGSGLiEBYiZiV+vedUpzC/3YgSXRBHsVGOCZ6fyGZIy3CrDzFilNQFKu
n++sRs6b2OKasFBHpI4rrglhewsL5XEsgrsBIOimUTVDRC/7Igxlgnzmr+d4a4UofbZnamwfkeRW
4eqNDmaInrErI/lAw/R95lhfxpbLA314LOr0Ox0RrJywvkac2761AIcCI+B5hJpxc2ybR/Ff7J3Z
dtxGlkW/CF4YAtNjJ3ImmRxFiX7BokQRY2AKAAHg63uDtrtkVZdd9V4vsiUOmYkhEPfec/bB0IH8
1a9QRPLxqoSODIRmkhEM/9R1wYn1vt/FikMzhvEu6SVN07x4ZzYxbTyPQ4lKBG54yy8tRw6BKJJP
fAQOgxmcZKbUNu74rtHkPdBYBJ5AhttmQBd0zEXX7OsSR7LXeny1EPcAifvd+pO5IOQqC8mGWuyV
TDFzCBqSgXduby33SV3eh3M57krFS5bMla9cwTOm0o69GxBp0yr0CmjmyadCgVSLUclvsTe/z7Ce
2dl3xADGM578YgYeyVbzW1waFschfKJ33u8+1nyFbQJsKTJm0QcsqOYIByYP1RMZfgUxk+BFGGIt
e4KLlqMOOHqO4kW164NMN54+LpKsnQF3iFZtG5/rwJqdezkG6N/MkMhfa4zsgj8IDrsfM95Ukhfi
5BhduLfQHm3rRE5nPwQZPjbrVdTzvRByL5myAD7Wyt756+bDi701pYkLC5gsvh3XvXA9v6Pbwc4P
VHdT6uwr5jTO/cLf8pguwmgZ1Vb3AUYgJFuw/DhKyoIyYvvNckNKcRghS/nycb5lQnbNCGci6jWf
FzlxuIp0OPUtTv3BC8qzaSXv3ORc1Zij6ZtydQY+l0q93gtJ28+fypS/osr66kDO23DnQSdocAEM
HC6K9Kd54czrlvvEB1p91tRVNymMD/xK6ouPoxJfAWc4GLiYAu7Gj4NRNdwU2uBbm0J+laT17WLT
b894mtwdeDO0V4WKzzN0lgdybZqI+oLATOjkkYMscI+QGqYgAr6t7ASH1Bx5D0mqrgJlTAeYRda1
08ZZ1PYL2HbSaSPYK8Sy5hXm9ZqrrOKLk66KGx7z5tYxWQjYD5bwIZJyZ3KfmOWY3Y+pe/m4vRwk
2EfTGmzCY+DnDhBriYEEr0M5qbYCNdQ5Sc3qMAEF2CG45DYsqDE/zi0l5qo9qq69kQ1hYnEJVE0b
RuT1MmJar/LFL5Y9+rvwAIej2M3oHPeMJsotYmdw4esFsF7h3OL3mVjY2cwsYyFxSTuxhMvx4zT3
A2HGfcdlBKyp3425Fb/iXTSObspHRepDw3ywjGMcOqxe5EJBQuAUWMU7QBnmCw53j4kZNgKRBiO9
suKz2Q3VtZ+Z08Wd3EOg869IwGe2tGx+48Jen/XcEUjMjWPicp/WQG+vgfWHe9/jIqukU10bxLdF
C8J/1l6JcYHFwVogzEzigNaEJHEUStexpcdIKMeL/N50tugQ1aa1VXfSHttbvyK0acqkeYTC5uwM
vNVspSwWN82p+xDJxoN9n9ImQ01WzYemZzFBUwimEaZqFI+8Bfxb3EWIkI+SuvoofWJ+PtYmO5zs
3cdNSw7lCJyH3bbVp3duxyXRueLenvP5gLk32LgAb3jsaC6mdmpgwGacv5pEH3qBlAOemC6DX7yH
grgfXCC88nqsoYUW20LyKweL8yoqAMRi6tXWQEOwwd6JeLQ04jsbPsYWfU55COL2vfX5Zznk2JBW
Ml7GeiKMMttbXfeNEYlLvwMMcN36z7ImhaAw0jtDDxd/7WY7OkjOczYlObMzVVpbAIokrKMaMBnZ
GbAAl3L5lfg6OW48dgTeLgwsZZDr3eVf7byethZ2Nhfhqv3kJmRzMuNu8psZ78wZ6SinkEhNoIbE
Y4phtwbnbNI66+/SRKCfwaBWwrZCawlXei7IdoeL26kd/JnGiry2Nc5NPLySoFe/qXD8JjKzJl/B
mYr3oHUMbO9oBRfF9GnSR5Kx6j3xi3gTMF62TtTkJPrKXIzGNuFRtEV4Fd+gLF6MfemgILyQUBH4
MH+Fkkc0473xBcvOCAUyGcvrOA0ddIVdaXlROxPkdXFHLJG7xK5i46GCjHnGN/E3fbk/t1Q+9jXr
tJxIGtpucJHYd/3YqS1Dw15E3Q1HP5vBeizpO04/SswqeMKlg82r564T2d9Kwv7cDvz9dQVOqtVC
iuTnp+I5nKkAw74Zjpb+WOy4B52seKs0/RcM7u8/bDjvfus8/2j8/7MK4fdXo7Xn2RimwbT/9GqL
TsgrW6rhWM5cIOtOICxiY5dAstr+t9vzb1E10Cxy7fzrKuBUvWWvP7H9f/uZP9iI4hea5mvrfoVg
fATW/IEvDn4xA9I2UQCsRcKP7R5B3eCGFAcfE0VmluL/KgDH/8XnC+uPUQlQQfxHcH8h/iz44Bqy
UJbw24DGcM3+k1BusFWaLTiwTiSaTFunLctXN49ZUgaWIsZYZNwQra1InlMIrzXxvTznPbSNN4sX
iymyLCZ6sZmNb/5gyVviJatfQzOnEE6QQhPOSdTpdoJQs5ekjPwq3dg5mZ5l33aZ9vpNPnbODeG2
wcIqLxHR0k/wDpkXPPqkpz900zDemuOrrDtMfSotnkl0IqSkyGB0LGNZLcyTmumVQl1O0OSJq6NR
jLx+O4UVJFEH436xa7y2+JoahUNyRydZome7i3c1WtsTUpJJQUkMh5tknuhbMORZxNbt7ECQ+UL9
FHUQiin7g9w5tCFsoRUXl147uT8GO4yYGcnPRE4T62kU9bdGNc1LDeDqMsD3jwanVFe0tPS3QI7V
i+gzt4zoG81XCHvb+7nJk1c7tW1Uena9Adm4Hwe2E95gm9GUBRob31TfuTjnYPwFdLIIztX+AdJs
cQkc/HeidNhUzwB8VH1iMzgQC1QM0VgN3cYTawRc5t9Z7FDtTe7IbxOPJhoMMriDPdHAzMr7R6jp
CiCgQr6vZwf0e0PWcGWsFOQ+8bc5m82rABVbfFqU1Z5HfJhozBI3xG7ntv51YEryQLFvlc/4f4ZH
4mc6KFeWJiG1GK0vmV/EX3qD0IFGwxIm14GUvMXON2jvPLTWZMfqKV6ul8QaPmPubVpSfmR3rREQ
XqVBMMLCChdG48iNCuYRIr0dRUWkK3Gj+bbSIZGRluWPN6UxdeRdekPx2s55uUvU1LoHnuO1hPKm
1a+ABoEe6biFRccGLKEBGVbWkYU4e0ibwvlMTE12Hy4ur4b0pnu0GhtBLOkuV5aNPWaTDnV6NJw+
UZu5brZ2P7ZHQhiQlDJ4iDyCJF6MKunO7G3D77rTfoeTVTIPIdA6yNixt+FDmHu0TVWPG+NLnjje
XSpwtW8IHadYDjFEfhOI+TGOpuz2EpMNSkgZF7XSqp44j8Unban0zp9ydaOsOT37nU1ChQVOEJJT
ReSCBzNry+VaP2FNNm8T0nvY+LR83arRSrWjGOoV9t1c8sqvM+xbkrv8ywSuYMXr4fAnCbkA+GY2
5xAyGv+pK2uVXk3hOOfew2p6NcvryjQn/G8w0Hr2w3rQm3gklhY28ujM59RN82OrvTsryAtENv6C
6QRc6ozL43EChjruFB2DlzgOSa4pydHe+oMIVVQ0dh1VuKgeB5Qh0OIykNNryzBKq8y8CPig173r
pQfRIqNRtSoBUs/JDmNTsUNdzKXI/fJA3iczymwcy09TrB157Q09Wco+MuAy3IoGVs+jWJSWHWNk
rP4061rjqIfuWSDHvjeKAMr51Dn65HTjeUwq76ZGiXmQPeRE8gCXQzPI+Z40JBuzaNlS2rvJKZhV
ea87p3soNXRvUeTZPnbCckehKLfMNDcyRtBhQWKnVmbkRtKk2WfXY34mcYnf5BgtRq8Y22Bmv3hx
SvsvN855bm8GEJ8bPBgUUnhso4mU4OcUae8pVmS2WhwWTB6Bus1M8RIODQHUMDh3iMqNm3yx4mOy
rtbzYH6urL5hHxlzkue3To1X/cIxjHvzCpV2P0cojcy9qdJPE2mcuKbr58Cfyf0Kmm9AIMrdlNkP
uG3DbdyXz4nT3Xo6z+/6tvoi1mIZuwybLnMvzfpxXC04ksDXSJvEVZi6GLd2hUOLmrYJjj4J29Hs
EWg2jKr1MZ2DBc0sde4cdQUFEQxDGIwHRARiS9eXGSUaE3Pr02A/gy0VGR+vWV7Auqkbdq5i72mL
gmMQVx5n+9pMOptiZ6geTLiYB8OtjINgewpqsV4u+FLzmOsHJCpQhua+nefwwVk6mveIcMp7ejb6
1gu7N79OzXORJdYVqbPtzlCU2wSYTeTVEGLDPD7g8ntCPp5sESFBBJlce7cwpN4mXjJfSnAXxFpa
3Se8zkNkuEJd7DC7d9lbc0sUadThmLnIrpBRR3jO41jG8b1rx2IjBko6tzZJt+U0wawCuW2jaS+n
+DVVpF7aja/v7CmcrrJOOQ8embGP2K5k1DveWYEVjZBusfIb5mdc++3GNfgjzYGp02NkI1/43/Q0
qoeAFPFoGaZ578xLuB+0X757pHJdFr1TwzJc614wP+kGJS6sMcY1gFsfZG4qW5DqFM0tdrErZpEO
rSK7OeBfSb+JsuTeCmtF26QYHrgIS6h5ZnmXu2tiaOX5u8wj0xWF7Z0vlNj2dt6d5OI4dyVkoK0x
zM2tq61f3bHzdi0c4kcZFjZ7d5/BLJyFvdJ0hLgyUpj/7Au8iMi0CjCq3RkbwDkHq+myK2P0Qtx/
ej5WQTadvJ5HJEZ772RQkVj/3Sd//7f2yfSx/2qb/D/l69dX+fpjoxxaDT/yj10y00bEHOvoEX3C
DwTxgPkmrW78HNAcLP6k1vtjKsoo1fSZSGFoEpR6IZvbP6ai5i+2vUrFXY+5KH6n/6xR/vNM1PXw
3/Iu2MMzYP053TRnH0CrRBjHEBFjzmZtXo4D5e7fVK0/13O8WUJO6PnzauY/78UXS9FsW6BGqkVY
WGUlN/5gBreSRfzvZDQ/V6q8Ftp1xxE2kC3o7esY+ActE+cipxPgxMfZqsNb0+vGG7aEzlks6PQa
T/6tlAk4yz8dRUxASB2Qp1F1+OYq7PnhJbG9ua3lw2vNWHuTTdzW/TU1OplaqEtqNwpQFD3D53II
CqR14JCiUq59IDqV1QER4RC54yg0z46KkOYcIylYEvSutDrMr9WUdfSZVUgaUxIe9MKkEH2QzVx6
qs5zZ8n7ssAfWDLu/WT1XsXeho66EcvsEjOIu4gkR43nJFUK04dY6ixR8w7MDuNDQyzfQ5y9JA6K
7tlvkhtzmNnO+WUVAVk3j4sNaE+gPg2iNHeGe1sN8p0peH2LqzH/ZJsZrTkzLvc0xyoCw+WIEbfS
NNdinhcLZt1gNOtNB8MEMulEbEPPE9C3+vrSNfhNekxmr2aZGMfS0+126Qx9bAGjAYCdwhjuumHX
31Qg2eUsK5SjXtIBNjs9qU0XCB7mdveSFUao2dKknY8RzZ81JpGXEPPSrK7Tqsn3PuLJit0x13lk
pjWgXtOR1VcYgc1LPiTB55zV9yFMzDDlca7Ct5xpONku4ToQkfYMV9HIs2nfob6Gg4qM72uRlgE9
rUqUt/R2Awobkp+vfXC1VzOqmmfkkuzeyOra2oxkzyKHFUNIS+7eZo71kE6ZCQefyMyUAcJOYW5+
kX4NaWMy+z0TVgPKYu3Jt07K9JBW6be5y5tt4gQuNVfA3tFa4AHsFAcnreLyhjwqWO2Obdw7VbZc
mwvMp42arALJ2mga2wIYhrkxauNReJl7gmaNcUpXuLBnZEhmngxvMO/6r4W1lhdLshDJYvRZeOYQ
KPw/3re2p76wND5ysIUbIK9vpjPpDaZW+ACgugsGPqEiY7yN4apDZSfV2pDEtdEXj2rMNlEYUxT5
TX+VG51gHNUnc4T3MH91AxO8j+H/ir3b2aa1N+8mfIEPsS5tCnJ1506a7U9AXhGXNncP25DxximE
TUrQ+H2SxKSw5+hvCrtavvZTDfLSb9yvzVQUt2wc7G2x9P0DY2coPH3wQK2S7QZ3+WIMnXOxF7Il
7XlRF8Nflp0OPf1IJTdEiRWO+1mK+0rLz74T12jjIWyPAmjuiF+4gjhtUxkMCMGpzKa8hNhCWbVZ
VD5ui0QW7s6zh5mNYNl6y3UAzGc6IY4HAxOBxjXNTWyQVflcKC0QgE32oHTCgajb7TBjnnoSXR4k
PamZ+RSM+smfsSyHliKAxJ3TroiMGDLixm1NbxP2QVUd9Ahy/ctkiCTY+3Nhk+kbaFpmWYngf69w
SLdik8je2yeFXpKHsXD5TqfJxuTitd2QbmrZVfou8QzoT4TVtSpld2aMNe2OWLsvdgMhKd+YNDix
VSJksZ/zQRvuvp1w+rz5CP3xxfVpb6DUaJKhe8T1UknC6UNVvBhuUzyGo4SMYa6K0lr67nEEaPTs
x7PRgfux43mDR905u9NIUaCXEXUOe7vw4PaOc9Z2TK03Te7RlgZF0FTM2byVS2g9gT+h/aHa9Z/9
2CPeZx70N49WbAAHFJ+4IIv+VNNfYFaFPnlbDKU4Ncqszhmq/10vB6DKwI9QwWGEq69aIVTLWMy3
9sxp8eh3WYW8JeyjSpkMbAA+Q6CmyPt16vi/lhTAx0WZZEKxGx+a7ThqeT85ovkuaINd80YyMvxs
AW5mDuWyHbykxFgI2+kUmGV4W7qZ9wofk/fnlKO1hzEk70H7oOcumIJVES5TvuYavXy3g46WhInS
smRwvWwD9EuPiUxRZyu2ERaLB/gC7tvyv7vAf2sXSPQ224x/3SyN6rLuXt/qH7eBv/3M79tA5MyI
45D10o30rFUw8X96Cew8qCI8wSYE1NlH3/OPbSDdUrSTmC481JNsHVfd3B/bQO8XrBjEhcNJdNlC
muF/pJf4s7jeNfGYskELQx8fKUq5n6XHJqRysHqLcUWoYQvckWzJYB6+dGMoqu6cmyBt202BpCPN
D8h8eYhcU/xLvUvg0rp+TzE3k/V0FmEcFM5NZdg4epnu9SRP5vhmuHvUYSjyfooPBVVpll3DeBwZ
HC/8K1acuEXdLFDKj4jByPoc5DCl19Yo3XkpNjrwDWQVdAcoeoDFn+lKO0NUOHplnHHTjuaLXXX4
TGsPrub8mKMowwgWCCS49+DRhzS8zTLGun0o0AIztjOI3B4q5LflALtgZt/AcgoWqSZdePNxLfxX
aPQ3QiMXt9Bf3jWvJdqTrsr+VD799lN/3DeW+MXCHIoIdLW8E5z0j/vGFr+QEmyirmPrzP3BLfWD
zsjysR2ajI8ga61lzR/3jf2Li7wew6CJeJXxxH9UPv3kYnDN9dYETs1d6FCp2Wtc8o87fyIq6qYd
humC5iTcjRoe6Kamg86i7evxno3cfM4nkg12pln0hJyI8VMhaN9uVFi1n384ev/P1Mz6aeSxvhvM
u7iRmMkgs/J+qkN4rAEhTAeU1W1lXZKCMKfN4Nce7qCRcTPqcjG8+CSeZpCOA1Tobd6RBBwvyhcU
KX71Fva9ecvvSIetXZbWJ2RFgXWYPTf+DqPWmvZ//Y4/jCX/MJ58HD+BlYd1j/0BleFPgz6xOgW8
cO4vDt6eZOvBBPs04gGCjkiYCpEd82Tl24zgCHQNOA82c2E6Bzl2s7Xt4OS+rS0yK8Lw425VnyEK
7WXKBtXv3CLZgX5K7zD+naUKSQxYp0/PdIuuCqSY046hineTdekoD3/9qf75NLD6oAy2UVPB+P3Z
TcNKkmijKdWl6uPwuU5QzyGIWkPrGsRmdwCiwscmtsovf/2yP1WhRBr4NBGoRFlb1z/Wt/VDFeqa
UyIalVSXKlisi1Wkw6WCKZMFcfr816/00xD645VCNHW4dngy+evD7MdXaogfJt8zrS9BY4rXVtek
XcU9yX2bokl3ZjuU9MTNGc1KDlpP/t1F8/PDam2YmNAn6AF7PEx/fnnfd7I0qShv18yFVwl58rXg
+Vwe3EWqnYeSdDObnPqDLtuP/Kva/96XoTppxthIKxyIx1SvdRHlfiU/OV1jU3cE8/y9McZmaxqL
9JnU1AKgk4MB57fHwb+krf/cLuDwoYVn2aArTngcrt4/Hz7TG9zKdWPjxhpi+Qo7VCUbmoA9sTF4
rqrkrOEMfk2CsLmeljaFcyimLLKt0X/vqVHqaE4TvA9wzb5nneO/jRCO/L+xN2KP5138eGv6K4Pd
gY2+Wj5Xn/6f36XXEQHVpb1zk4u2icNg2zMjPEz9RJhxT9UTdVNr3o/YbAbwwykhR1Z1oB5vDiWR
dFFRtvKhKSGVoUjRyWedy/o0K4Ytjds2n0DWYcLHz0a/YA1cznonZ86Sq+qiGxKZW4P0n4QaDNnJ
R2SzPaby6BJv/WDnyR1JKQxBy8FvL2xYnnrqAWfrrRnQVjbbrA1iWEBj6iC/hgEUvBAELs7pmiG9
fMRJazMVkl0dg1Ki6ujg6zV72lpTqJd8YtjZ9o+DaRBRrWXvsxlvBxLTbPsJabUuDrFvEGwNSjb+
itaJuOuMfvmvw5qB3TTKPgH9bU5WG5Zv2djgGybHungEuz75m7ElTRs1NLnQHIcDrsvwttVyYkbZ
tXvLmojiLpHIJtGok6CNxjWtWwLM2A5NSJIrglEay3V/5FFj66has74DUI1fJmmmVzaksUfX6ckE
D3PDRlYkl9fAq7udMic0jAjJkr1Blu0rvG/9rpI1aHyx19DxKrEJIJ/WLHJHk0o+JyMB5d2aVU7T
Rh4rvpUZ5BplToj5iL/rI+LcjzUVV70Gn4s1Ax2OCHHoHbqkRKwR6dohLT1Ta3B6zpXU751e44SY
HH+69oplKeP7Qbdw0JiHoXPq3phB2/byorQx+bgPQgRcjJ9t2Kk9WvChH4bGvPRFj47nHGbtchhD
+MAn2WWUP7ld1o+mbzinfHbYIQ6cA4YULax/TpcMAqCBMc9D+k6a9NdCJ2YEZ8yKb5FdeX59LGZf
Y3KYyrDHuYX2K9nomIwqjTTNNfaekebxLYlPjgdGK2joQ1lOoeS+KrMuxMTFwyveTai/qA3xRLmb
OTYrEWEclVT94aDjvSZtkd4NHOZiT9qQXKJgcVkxK5ugvkimABI3I1YAdacyQ8IcTLLg3RhGxHNb
s7b7QyaCIbi4RHvH58rxe1B+UQVYa5mPymR1S/F0pL5ErzsuLQnxqsr2c+nJ+WgqxRAecXSJ6o04
nPLQZW0G8NET9mdMswueS8crkI4V0jRuy9w0UGn2VfU5RxsqmRiGPbLGtPceEGo6zp78d9u6SnWq
aJX5qZ32B4S+TfXIw9g55wlBSnCXeAe7ukegS8brBLoN+l6jb2RACu3O4FbptrEFDa9DG15u8VgQ
EY1Oj9OZ+UQjbyqimpfvdApDkud4A8wbZ5m2Jws68TFhCk90asHYe5vVWbxdhrhwYVp0TXiXxzoX
ERRhRpISTINxRa9S7K0mTlzebug3OybNS31KM0snuyIUKdnpfB/NPzpHXD6J0yLtzIwP0JIBD2iu
Z4PpKxz/C9rDjIS3YBSG8wS60x4uXhOSI1mFbX9DdcEjKVF+wQ+EEq7RPiYXpHphXFSl5xZh5sSg
x12yKwvQ95PIbffVnWLM+wEKYQQb1eQ7O6IoMt48ablyW0LpUxGUM/hsWftS0hZjBkaE9KMCQPa1
6VLnOPo6iXdB4Zo2xIeY3+OWdT7tq24EPzc1jrhXWCGfrN7gOzSBWAGYhdkn1c6WeXbsJtsmcxN7
iX2bGX74XJntenHmeasOfqnox00zUuiILiznJtUVb6xWLLpXPMHCZ4duhtxJVsluG1jhVJ96Fcb2
Xd4NRfFgB4jpTpOAt3LTT/26+SRp8c4FQjox85S8dF0vCx1GW/bLwSz89cOvb12zPvG+GmldhFvx
KYCYcqhWmjdpBgWz/6gpgeHdV53PLd8xY39N+BprKmyB9LYF87Dy+prU5HTTuxpuJDpWtcnMoZ32
zNRNZzePrb0uGtxMEZ+IBWQKrXWfDJ3gGTNPeA4IGcbBk7oF1wWs51eNYRy4a0cz1+knE1EM29z8
qm6qIn8MeFocVGValzZM2heUVISBpiLN7HMdJOFwFdO2Grdz57eaDe7sHBqbwxqhXp6/FWXh3k2D
MtGqY2IqPmtPJuooY0O+M8xc1xCgSvh5cCSRBwgdRO2Zb4SfDTOWe6mbhG64YJmbO50+ZATpXCF+
zN2ta3d2wrIHVmUDPit87nJjTHalXXGbLIANw5Ooaqv9LlmQZxwRXFI7va7Yu9w1OKITs5wdDxnd
XlndQHIx2L1+5EnrICXxuzb/tQvxKhsg163zEvad9daragZXsMpZTplGpb6bpJUukdDMkk8Np4Xa
vgg9LNfj2N9Ms18+5szON4Gvjjj7R5JsNe3UqIBNh0QBNGJ9U3mTuDZ6E81q2lZyvEoA14L3d5VM
n9iJqDczXJEFLJ1qJI9HaYW5ewxangJz+0g+rpV9serFCcbNwg5s/oTa1wj5ZaRjku9oFMnZiBv9
lS4GtqjSR9l/wvNn3ZO3Fi+HbiD1Z5ctAxcpCoPcuZvIZnMv0muIJm1R63uAY9NVnsDuRu3QaHPW
dFAhF+kWX7J2KAW7YnIgxo8lbb3DEtAI2RRiQqA0xzNJlHGjvPazdmfrKUedBjyxy8JnrnWp7ipU
PiywdhPm+0Cmnt5Mw4tNal5g0ZEf/U+uXbUaM0JCEDqNj2B8aGNILDzcuaJ3ePw5mxQO83SdEWbN
BKNrUofBu1l6p3iqQz7XNBnJTdEZjd4C3mHNoKE79DclIb2UkUjh9ioN0BYAWDJPM2TrjsgBz882
Ik793wBG/+2k/E0nZcVeUM796wbkqdZ/aqL8/gO/d1FC8xfLpThEbun4lI2/6zRDj3RrVoeVeQBZ
yFsZTX90UJw1wpo6Ze1ZrjLNf+g0cWo5TKSZysC+FJh6vf+o8+is1c6PdUYIJ4rtEhpSSkqfx+Cf
6wwyB/ux8rPgbJJwcWWQJoYhxy4eJghCb7Ial5OOe4HhsVwDBggIKC4OTLYXoojgE8W+Mu5IiWIw
lzbzeCecPn4uFkQmVy2X7re0z/KE+FwMHFFcoUKKSGlJ9gPe011MrPDzjOX2fugahyRnHsnxOc2D
8m0cZ/d6bIfgOZ3qHNZ+2QUS86Nlz9uqnlYdij6lochOozuWuzx12gHlR+hmq1PBe0MKUH6vTP+U
lOVyycNp/EzcknhAxTzQ+x+b+L13FnkLf+umKAfkSHOV5S+Ev7WveDzHz1PSysgmVe3dAGmMOylx
YWR1k88IewwRns6OQm+STDeL31mabbKY331pGPd1lWOf9WGKXUbDxiorGt/bJCqgYtG1I67tNC/A
wCNbCTdka6SvS5NUzF9jtXPHOH1h85FMkRPI4KB8es9sXrzycbbS9Bbd2smtCUM+ZrpMDskSBmfq
9PFg1uwstouU3qNMCRA+LORd+ITfpjbeFkKuiagp0NptK1GHb7NFGFE0B51vRmk5DleokfrIjov2
zOYNm4KyvGVj1zW5ti08q25BWOXmCKqwGjfBRaAaRX42+sPD6Mv2CIeRnbthKrSw4PmjkPTFOhKL
1zy2JXnD9AoNhpATBycsYboYTVUSehf75iZIlvw28+aagZ/rj19K/MIbb2CDc2WR/ZGiE54nrGOJ
HyJ+9GLQzVLnOM6q7rZiGBaRB9nOG8drWhC6U4qJJ1P9uc/J4IGwNSV3Qd+8K37LcDT7pc1wajj1
u8YJQbWvlxLmolj6b1WH+O0Yx0H5HA9Tfhqdqt0t4Zw7hEx742sDFAfUEdAsdhYucdtORwXmtM4e
lQPy34kN7C14wiR/bs0insb7xSDeg4cLDK7+4Ftj9qCx09xJmwDz8o2za2uCvHiYcGwnUaWGYm4M
uD27UAjJ+JKoNtxK2OYbS/Tji3a1hwrQsj8lAa9BRbzNy+WRXiZ7AxKSiBKzCEk/xpWF+KCO5YYt
o4ddkHTQuRfFXklypI3c6aK57iCjg37wK6vbMI2oqU6bdYa2MvDTYnUF4XYD3QNdI3HY9xbWld2H
1k1tWkz9avEAiOBIRLN7vUA5i2azwxgCqfxIiivHfY36lptRzPG2CjquQFG15sVgRuFtlRrwZAP/
2Wf50p8JHSIwKEcG6Eyhvh6cJdvqVhbIMoYBxJVc2iuP6v9s54N8mK1K4DeqPffg5VX/YITqfkm5
MQu42+DmPlkGy0AZFG/4mcU29yDT1VmunozBLi8kJvqRqhh6ZJNrPeI1Y9UKJCrBED73hjCbKcIK
BQKNyp/CXxBENRR3jqieQ9GV5PpwYxu1Q/xN8kC8N6GAtZVHdFGqKIfwhmhAlcGxWzyJbwvumJHX
+gkYYro1xzk8+bVYdnbpjQd2qPaD1+A2Y3nCIyY6l+xtIXeeG6J0TIQablzUkjsyoKZrokeWzw5g
vi++JCc5LVC/kZaEQnfo/SeU/sS9a6+cWKQUawpiOdbKjAYXCcNTjdS+SJZbs+Duzaokv1tG1sYi
QSZZA1A8DkaYX2sLhBS6ZlKTCbsYImJOZKSVm0RJVrQXCYv+AJ8huCo6+9WkY7wZkgwAOdnU0Lbb
ng4JaULchlV6r5Fx7+IF92bEjJWjbRNO0yElCUk5z+Y1pcYZGWdl9LKItzCq68xN1W2OMeltNPHR
UpiT3dvb5s4MGqgtwh9wIAXyC5rY4C7tk2bGo1n1X/LA3dvuYFzcYqpurXHItmu8yRM0nfJdUSW9
0McRjz6shXtMkslutlpzXzZiuBmXHnurKRTACPT1O8IKSxbdNBseM+HU5yBVzqvDpvnoOK0mf7it
bgKrUcfJcK1bpdwimnpU9QpEzGNiSVKlJT2pSz/SuDCRDF8rt4yPZkpvgHibYluT9rOPy+SWUXx+
zGIjuzOKwQ82xRj4UcKav3XyHsF+TCDR2SybdE+xIC+ZXcaf0mrRKRW0q35FhAguZjHG7NoeC3VU
/8vemSzHjWRZ+1XKeo80DI7JrPtfRCBGDsFJIsUNjJREzDPgGJ7+/5zK7JQoldhV61pUmTKVJCIw
OK7fe853mMmTZW5Mz4QHZ+vFqpc7S1rmug5TMjjzPOmjFTSLD000mucEGI/nhJko4I2jp9xvTXxj
O4Nxa0bSpPhH5jLTDkIagtrhvm7q7soiMfIq7irlBlOrPW/06SkmuP7OipWbcXBAG4yjxbbJFAs9
3aE/2m1/3Q9zl6IStww833rjIPKB24RJUX+gQ5+X+wrkR3IvUKSWSGcrZ+BNlKFIOS0V4IpVaQ3F
BkxoE2BunKiW9Wn54vXS2YTZjBi7TViCY0ugs23bETBXPA+7US/uxmlqdgm9pQ03aXjgUubBUJb5
taX8DHbpHodIq4OGyNL1a9H3n/r4nfrYNyyGBP+8PKbBCJTzc/+P6uUfdHWH4vnHmeO3n/+zWnYZ
rZMkh2pTKfIo6f6umF33D3aoTMJYNL+hbP63YrY8BvKCsbiP7UjVxRTTf80cvT88FWTLX4IUNk3+
6v/99w/jgu7NP3/vjVNohe8LZspkpp6CNyrjRguP1ZuZGe+gDJLVpO9JVlsX0QvqudM0h4dUdTdH
kJ+JfkSIgm9geDAyYC1W900G8sNH+v4jKF7ETx8BCyIqS76z6b+Cn74bNVVoU2vPi/R91c76ZSge
ZmYVHTaFskBahLtKZ20KfOpKmMXhRV1HyAZMUW5G85PAQL/EuJbZVup02pLK2/Y+EVsuXZLYgXJs
yxWe0YCeBB6C+rOYeJtUvNVLiI/ZY4rhXf1xFujIk/lDt5BOUSB30zaz7e9F1bPkR5lzjo+7nFeL
3uMI1VCRW4GOgWi2yo+zR3Yd98R+Ussm1RNa0rMIcTgC2OVa9OwrvBzwgKddwCjBoYpocdNl50Ib
roGpDJupjFamRtC9438yLG3TRe7T0vEJoJTQI7fWDD0RE/FOj+PNUOUB68eaBtjNpIV3aTO2G3rG
G9nXjyB49F2SD1c0Cs/gQDwvqEH7NFs3zpjviMnwVmOPBswqy8/FJPRdRhQm463xcykidPhDd17S
RIRIUa9rp+NgyzbJrFNUpNF/Fpf/k/gH1bYyoP7z1eWMXzN8zubv1T9//tCfS4pnkEGOXAfrI/vl
7xYUz/+DWY4QVMHMUXFR/L0Fh4ylhj+oyXUeNUX9/XtBcf6gIeBbPpIhw9HVT71ZQH67oLCX/+Fp
ZppKDwBtBY8zc8m3Q3jWmBjuNmQhafDyx7phuNejES1bC8b/LmnY+kj9OdXG6VAjixtXaeX5N7KS
/b51C7mzGqPZ6T2Gqm933D9dZ2zzTXMAEQNfDnkSjVGswPrbtIOps2c7gydzcBlyVicIVPrJWxws
WakW2qTQDdVtYpA7tklIY+sj7GVaLYHMsXcIv6CJNK47w/aadkM4Z+HeL6w6l3PcjEC64874VMTM
Mkg7l/WypS7VvCAnlVM/4dIC/hAIp9e8/ZiFS0A+ZdnHgZGPZLdRTblZ+yGeZUQVoQGnX/t23tx4
YZcTpeJ2uIPwGdIubgdD+THTDUP/u8Yb4nbY+GRiXS2GM3zwqzoHRNHgnScMLsebCijvuZgL/UaE
MFbZw7R1uk4QLUMMg/tpbGVoxvmxt6o82xL4SJ8xHeiGl8BFqDhG+vzhxymMNCY7S3tsotTYDYPV
fU70uD35hT0FJOWcGVF1rCunu3NLYmlp08/Iuob+LAxjeZw0DPGJy4h/lWPqu2yENZ+XUbzVkjSj
nB+M6kYT/ifdSkF9JF1VBUuWxw/Eh9buSh/s8ULDBHiNtMuf1i6ZCZsxkdN55C636N/zUzsPCdA1
v3TJoXWMaEsImXhuuyJd+XUMiMe2KeSAhCfOje5l9Q3wNWtdhF5xZcvFBcxmtUZ2QYXfWR/SqMW5
amjJaVmaDXs+c8vQb7ybdR1OV2yVh8mp7V2eF+W2dolwXRutM6w7dvObpXSNPVCweuMSCLiyFr1h
H1lXB7bk49og5eqas96ceU7WbkH068fIYAjgowg6xga69SAs9fyh7o3urnLZAzaj4drrbNDoPHTJ
cmmV5nROVxxqrRs7WwEefIMZlsapKft1Pst2Y9KZdxiDSLFdmhFlUI2I4injtl9ZZjute+40NMXR
eKO7crxEUiDP7LEbNrlIfLyCcEZ6DQqGOSYWX6i3buK+aLH7LuYqapOYW7otXMaOVOuAbBtBKBy/
ZK1NuUY2sD9sbH80nswI4GyRIoIwwZxdAPcWgTdN7V4Avxh5JaXOpw6dNDJd3G0HUzppG1SjNcfA
cV1AGbIyET+7xJF5K7MpXOA6fpPTD7H8OQDvE6mculC7s6cOjS78if5A0JsB79WubN6oen6Q7tKq
IUEen/MCL8+QE3P2xBAyJ5CqLSTjbT6bNp4DLxSfyfUcCXbOx/ZuIcDx3M99n9O3NOQmYPXeEn4Z
rk0PU8KKeBYlfc5FKHdsP608oJ8wXrulntg7N6ucQ9a3H/x4XJ5duUzQQDpxIO2iIhoZuW5QG1p1
yUo4fkL67bWr2nNmfVWQtGsgrm8zfx2N5Tivqq51H8vQ9YfAbtoJOA62IHmJfZipl8HGZ1XQ6cVb
IAlkOZ8r+hwrf5byUEVOhYSJRaRYp3SBTjbdr3Ylk8g84Qwerx2GYOyzylhO9Aq7/ARHqt6NJopM
2nqy0tiiGrUMarb/lw7LwVkR+znM9DBndNWXzU0yWH21mXLTugiVaVZTybCBq6y0iTLVArbR8sAY
EsGYmb93uEf9TausuHKx2wuIcvFVYgLjZAhX3nnKvBvNQxEU9cgG9tXba3dZ9jmN0ADQ1lLuX/pU
DnPsOdceaosGBvZOrMKmpVzD7quDOKpbp90KZSwmh7g5zswOP0VejJ1cGZANZUWmixAsmqO1CEMx
KuuvnmXqPHEW+xKDxyhbVA8V7ubQcOJrSmfzvkJofuPOjJn2XdtFV0KImlHQ3GcECLpx91jNOuFe
AnG4vWuV7yFUBmscGY2xso1JXvQeUewwdkabatPy8OJlbEpP2qTs2rbsOBywR/nC+o77WYvHbeM6
3aOjQbRfR76+nJN0x4yc4c+hzcxp04zYxFkbpgMKwfBBZpjIZcZNxzrPQ45CPVPKJWUbXWKm8q/+
89TGig7KHFe6O5vKod5hVscVytZSUmaf9aDpXy/bXvPiM5IYYdJjz1+b0nA3Xex8Ti38laMnAMw0
k/UR23F9SGvXvSKphzkR7nmzUT562DLWadLq8zRk6UeTcB7NXoi1vjr47lCsHFubsEUU0C71st6Q
hZleziRa70Sl1fzAMpmnkgddrEbl8LcHvP6mOZhBESMNG1r+L/F07ZEol+a6Na3pTNiNyNddHUMQ
sMG3SEUVyMiVCNqimnaqLnnOFX2Au9Smqn6FEohXQAHagfi8Y1iIRMez2jPLU7wDgpEAGzAhdMUG
mPQsAnzQAKNncGgEx+GN/uiQHVRuGkVOEK8QhfkVqBAJBVdIX0EL/St0wYvdEcgQGbY7EFVgGQZF
aEgUq4EpCpcrfsIzJ0+aLrKbGUhyRijjLn2FPViixRdedrF10b3iIHBkmqcwK3E193H1OCtuRK8I
EiAVuF7hK1hCI7Lx0bKbgt8Jd8JUBAp6zswPXSZ/F17TGecdyxlPkeJWRK8IC+ouNlw5wm1uENJi
npj1fOo0w8ElYlggCAj+PqaY8F36zZ6mNGZTGK+HnPBf1BeotEYCnC5RYc3XuBgTPOwSbpJDkAZT
ytzUtkPX3UQ+uyOKIvsitqsY7gWP2HnCcMkmyLXDCQsLHTG1XQgM66BTA+Kk8eCmU/Ps+UxCmXdq
/hE37KgKTCbQbJUqYuGMpRerdmyXg5eiv8FVOzjnfaEvYkWAwGCuJm1R9KI0lecNrqd6NbKOpOu2
RFC/pjxp70n5nLVrNDmF2A289GGrVQtQUu4BNsFV7hxl2vImEFBAm31GvvUUTCh1Q16tgvqryi3v
dpqQKUFAQu8iGDSceW3GQhv7Fqm1lZOnF208ZxOeO7eALuBNH1vTb24Ma3Qfm9BLd5UDjmCV4UX7
LIxQO3qV2+Dt61o2flpU6FABDSKaVo0bD2xXa+OKuOO4OHp14p8iAm1f/FIXyTrXI/1Qe2mur8tK
aqvOGhw9mEA1WP2Zg8SSmch/ekb/J2evoSt60j/f1m3RjCZffhyrfvuZv3Z1+h/8Cp0YCICWyriB
DvbP0arn/kHviG45mz52bq9T17+8vZg6dINWkcUvUxPPv0erKNptk8aS95pvYIKu+Vf2dT81aRw1
WBUG/hBaDhhJfhysRgzkF6+uhj1rMJEYeeYjQRNm7J+LwfJhqNlteY5PKCkDP4aK9t25uvo2wP2+
R/RGjYy8SIE+sbrgLWHL+3bn1jQMB6mk+t04mHLjzoWzMeglByzhxf7fOBQhfDqCZLbqb0P4WiuV
hkHmwk4YeGNzk3Go1cX1BuVw8298K06lzwTc4KK/5qR81/iizZ3VNJ56QDVTgohxaYK277N1P7nD
4fff6s3W9/UEwk7XBREvpmW/tWaj2B+ynJjSnZ+ESPdnE2XT4LxM0gmiMkzXjFk0ZX3J1oiwq3d2
3m9aAn8eHGe4uouRKdKW+F7h3UMCCq2awaFGAqkyIBKWaojm/Pdf8ed7xKb1YOI9Esz/EUX/eJQO
k2Enm3DYtb4AUi9eU2XsqQGhktZFWbzzpd7o8vlStvKCYHUHMKuTi/fj4exGwpgw+mEXzQCaGGN9
dS3zxSM4BU5LceaEOJV+/wV/Po28Bpn2KBoV7QvnTas2jAH8Me4dduCObV4ePgmZul9tfn8UdZq+
U1C8fi+TVhE7Bx23laVO83c3JfsjCgXgSDuLhsDK0rRzQGknRrVAXPXCfuc7/eosfn+0NxcNB0rU
kB4/4OzG7BliDY1kgapbtQYq34eIl2XPv/+CpjIUvP2GWNQc28INwg35Zimb48zxxpHHzogdcRKV
yD+SPIy2oVq8PXIE+OjNjStnb93kovvi9Lp3rG1rP0RttZODLzfDZI7UGW79eZpILJ8dBq4mu/Fb
Rt5Ew8TR2sia5Z2FyfjF9VfpmLTXbFJVfrrjvA54aNXzGCUj8Cg2vfg5wQzbcqNpFlR0Kvl17VUj
o7esZjQ7iUfKlgm4o1dfuriL1lEd+Sf0fX82c/95a+2XH03RCnjCbf735mFIoZFllPg9iv54Y8Lj
CbDCTGianX7TNVH3YUosVCKj4+cB8XDlcSrTlrS1gsyvYoJuLvUSnVqXrpq51FcWmlqaIR5QSBMI
WDSYLfkOi3ZYIEUGDXjRYHRtEOqwRz8OCGrhnXnQWtDmrluhuVtCj8iDslqPFvZ07DMaAQBL6YWH
NjKV3D6LRfYBYRtQRjGTsEYc5raFrA/WtD9VvrvsG1pWTAVgcU5hHp7r8azfa20jd2mZaSDO55ds
tm56r89WPvC0fU8A2onfXG5/f7f+/IB4NmAO/Gr0dR1K7h8fx6mLbFpg6qJ38SUz1hgLjn4wkulu
WOg0DUNh/MuPJEdErUmnVM2X3ma1+O0kPX/J+l0bhgejg+9mRJ/9Upy3FtpzVJUPv/+GP6/bKlfJ
QzWGvY7S582y1kW+LLk2/S6dc0K7QFccIlpBhJS2c/D7Q/18m3qMvh2TmT5pqJbz5jaNBtj+BNHw
FvSkfVZpjYEUbnDfOYG/PIp4pQRa7D7eXrIC72vRj5xAzWn1liLd1/Zov72r33+Zt3ZBVmq+jUfL
h2rRgJL+5tbI0JEbSMSxP0xGFWArSLfOVOB768oKvWTnUlJw4wPgxCPi3SPT3VUiS95blqyfllPV
7Gdv5hm2ZeAs/vEObRqEIIl0u51AAbcZaZduEcr3WzH2ibe2xCIORjnR+9Grr3k1ujdZn467yNbl
RbEsuPOz6r2EOfOXnwnrFrQcmDb224ojEuTGh7HV7cpoKA96a298nTY/Dc3mMuxqkvTcof6UoxRH
E6bNp6FOEAmw9w18r6zwC+Rfc5o2l5k3BcsyPg7YX9ZN0te3c0m/tQZQuCc+bDyWc36p6f17xcWv
v8AreYaSnudfvcO+ewuHRusXM7iFnYjnmwgCxXYYRfQhZhVb142bBiGcj3XhOj1vrLY44jt48hL3
rmsd/zDUYbieCHPaIE/3r6vFBXIHnGWxw/JoeVCQkXPPCCNTTck08i2+jfqd8shQl/3Htyy3xXff
4M3dOfbMNsiP7nazlkbHkP78sbcnBDCaHvRJyyI/4OlOU/1gVbCzu1q8x+55FXv+/BE8Jtw8jAb4
nh9PojezlmAo63apFgNzG6CsPFNWXdE4wKnt61+qXE73rmnEn7E29oOM1mllEvWhiG4y6ramDquh
dVC2jyjiipVrDjXBlrq+IyIlXYs0Mr7OpWGwVLq3LnxtW08xNGn+PZvudm9IWz9HYZPvl6p6AtZ+
68wcKBIw0Wp8S/Y75/zn0s1z2A2Sc8NcUGe39OP3JfeGRiA0+V2T5vdluHNlmgfaoiMbW8BT/375
+cWyTZKXzc6T6DVqRe/Hg3U5PfWWRWfHXP7FxxfKWxuOumAS886R1G96cxk5knL1Cibd+tvCHlDR
ULuhzZ3URncZjaR7tILKd0/+9MqeM6ZWOsO2Y+gY7wXL/eLt6+iomlES82Ki8P7xS/ZR0phhqkMb
cOdPmFKvJrdBLhi+5G7/zJbXCX5/Ut/KMdSa7uhMLhGKsOEmqujHA/pS66Yk4ZZlG17eDBZ1zxxa
wUynfm3J5StmjLsqyacgmmuKG2RYa9lFbaBTrfz+o/zyZoIkwZvllcr7ZllPhl7aseT5Hb2qD3Ql
+xV0SRnRVdEaauXL7w/3i5emg51MZXWw9/4psdrxUyA3w8RFnlsw+bURQtrz4nf2iL88vwadDO4k
Ti9S9B/PL1rgqDJE3e3YI6Pik1McyDL1yTvwtMPYoSeNMP8Q8tqQsxNGjE+kActRamcLAuB3ntef
N+U4ntkVsikHIQBZ+McPM85wg+Iu48NIWOTYcHE/tMvFLGeUioWhreuuKHexGutU2aC/81i9dQ6/
3mtUQ5xs6naoCG8OD3gIE1Kpt7vZEPFz7ZK9sxrbqD91iWFjYnUqh3x3Ooage2dCF1bSaXI7AMHB
NLGg95itR20eL2RsgVw3+34w1nZkd19+f2f8YqHBNeDAfNNxHbiGulG/exXGKI8JAHWanTOFTCIF
biFgOkB2Qjt555T84lD4bYRLBiNtOJAPPx4qSY2ubrBP7folLF4YVLvXzMiKlggK/d/4WtSgNiAW
1VL7aVWryZnoa080O9tM2mvEGc62mt3wLG17uoj/22i8+rZSft88+8UixpFoi1AiYhB/26kwEWOk
1cCREgLDwJGW9W0RNXCq9A5X81SgfKri+Z3l45enkv01TX7HYNzy5qpFkV5i8babHc430kigbiGH
Ksyg1c3unUNBveG6vHlDUGnoEGfQvSAoeXMne5mohmhBN4KhWG+2zjz3aOljMS4Btj4l3W07MyDb
F+5YY8lR27JzHKbNgieyuC48m4crYaDoQ4md849mLXHCtWXmDQHeKydZYQuPnyoM3RcZ2LSOvJJc
AaJKA4hSyVey1q6DnDfwpT0a2xGkwnz2SpqC4ecuG8z/DFajLDbunMHEF5sLsGPb1CgmZ2OhUjAf
mJonxVcnpVkSrWp2MDED69YKgzbJ2vhDl1fGfMgJyLV32EsLsdH02jgWC4aqXQdAuru0C1ICLgRC
1fCaeUtebvlnbcS713bZBKfKz8qgzKSILjy3ZCo2MOSE22w3+a3UiJ45tqVW7Y2WwPPVHLVmy6A7
+Vh0jiVwgkEIOLjRGJHCMlRVtp0z1M+bosZlfZ5KtpPJ2vFrZGZdNyomsLRnlC0Sx/JZoWH1ou9Q
1GZQF7YqrhKA8k8uxjhYOSHK6YVg9/a2tjGJ7vAWpvPVGLrytkxE229mrSElV68KDxEsKpmB7Ml4
2jbehHFDlBGeeHBBC+z1LvV3pZrObfJQhUrrmokYsGHU9CGNm3w95QXw1U7EElR5Xdv7whuu6fNu
BxRB92Ft5g+55uk3fenADwBUvdfULNdq/NNAgiuD8O1EgswNM/mVFGiwoaIkO1NkIGf9DLniII+W
nEdCYbqnNHPEirllGAzpZBGlbX0RljaiCJ/JkGCmt3O6Ud/g+3F2wl8qMnXEQtCpH511op6e3R63
nRhmBAqufFoaskalhTNeTvPKTvKPwGw2juY0VzYc8I0BBe0KhhFSFz0xzrwijy+w3uc7dgsA1xKE
PItl72zNuE4S6CGIPsND6Auk32k2UFQQA5fzlsDT4C7XWT4dmh7PQLKQfJos2SmjuzSNoj1m02QG
i54hbunR7qdxKOHTYMcYsQaQ+uZdhZ64wQ47bYzRi7dkdyzrmXS3IDRnc7dQut6EUV4/Er2in5ex
S5pR35Dsrffti6M1wMl6wBkeDesdOXz2oc1xDroAKg9oeMxDN7sk2U3ySG7cFiSxsc3s+aHAePtQ
JuEe58FtMswPmJ9RiOo+jbohfCiA0DHvzwrvIAfot1JrMHfb2h0YqvDYhVYSOFHlka8jNK5DA38g
9ZcAQVd9k7SavGqi1rvpBtSjo9Wd93PorkAWg5DRyq9dM9Z7z+qTPThj2AYFMHbR9QMQAqBzRKzI
pF9m2BRNCeJnRaXZ4qquEr+HXurFmJO4ee4LkKpT4DbsI3iZskikiEg/EYGYXTZkJtMeIcjIy4wD
qqeZWWtfkR64eGf8ASEGD8Qm/Iap9L5BK6H6KYTljHsNoOUCTOOTZlhb+IxwBjScwfXOVUDMyV2y
em9luTkEhde65BhUyJbPNc0hsSVzvRZ5/Sxt7Uh7VicFoGowdrecqVWflXmwIGy4i+nqX5l5at6F
RZklhzFFCGdDVCDv2fS2ZKehSwAvPR3jpNOfHT2knqS/q7RSen5W85L93BO+6xBPE0F6Ge3EIsay
c26FzMIXn+Y+XNMS4OrqNf1smb3pA3Om4qVF8YHhreiMRyzuIDKH2j7Baaw/4bkfAyzm866nYrnz
ZpF+koxAuRlz/OG92RyXiv10MjFIhw/T3dOFU3mUGKwUlIQ7Ibb85iGGnPG5qXEdZZPWPLiNmexT
8GA5Lp8e3Ry+2nu7woKPWWUcAye0iz4Ylo6Hg4E3Ai5G+ohrmTCnFFwHrOZZ4NJC3rAr9dttxr6p
2Bc1zJlVn0QSO9So4AZ2YniYYFRCSqULUpkKRoP4t+Jc3YPaeIz8NL4FtsbQ2W0H8BycTu0jlni+
oqvYTWeRufBRnUx+lOY0jBcRiRXIcxoCkXQiuare885FLPitYBt3AoXcrexNe1lRiTRHB1fOCadx
/UjrztzQOLMVJr9xNiVOpu0yTNl2rCZR7FzXjU55Xkt3XduxfeIhaniouLo04ZtjBtbt5BLg9dzK
qL0WS2vcdQnnGwXgvCM/fd55MScVlOd8pnFrXtd2Wz/baoe5Lp0FIVLWpAlRR3ayt6eCX6uBPjJa
0RxrwubOF9nVz/1ctw/EnkMVd93mc2VERJsSeM1pxc4dHiO6EbvB77svPl6gk1gabVzJyo9OEwg5
pABOUcxfoEMIgIy1OVoCofRohPO5wWsZH6mPCFpD+tUQJxmnJSvUEJIGhY3srjZmYKx2FX6onRj8
pT1Uj05Ecls/qCgME+qMsQL42n2xBxKgot5DmtTqYRCB4jhrC7688N3pg6elrItRmOwtFTZX61p0
GojuxPDo2VTgJXG5J0H8CBIgxXZAdpZBtMpIN4uLnv+ARClvFUUjifHpUqNVRwVY08Yqu/t5pmnt
ubL7QvS0vQ7DOT8Yba/u8iGuB2Yupn2bFLH8iOp9cNdjxYfMbT278fq2frIIu77V/KXJAU+N8Wl2
itJYdRD9HvJmma48pxs+6mBSbxJ1uYkO8c5tor5uGiE5UKbNW991cXxTZMQn0XHWvDSer/RIm1/0
pUp22gSLgegRL7wBHiEOjR6TTGaN/MZqyW4o2acPPianLzjXyEcFXdzFGwK3sapCBy3X4RCH1Yp+
S9euSuD/5drRKkgi8HILDaqXE96ImC3XCqtaMx8KKTHUxQN30qIhrwtoIHGnsWbFJ0iYlbEujKW6
QkZDExdtLNda77xYHhyr8sq13/UvFcm8YMX0IiV4YmxetCo1PooIc7scO+MrUYaQjXj0mmtWiwVp
V1q3azCiYFzb1B6+Yq5fbK4Z4b1aXXNaHN7k3Y4AAKyMCkx9t5i5duP3OquZ64Cnrb3mug/RSw2N
WePPmutPEwKra6P3olPoNMmu98k7I7IJaE0XK3O+x/NdalF/3yBZ0a9bzetY46ussA8V/JEXKmr3
gj1xuK2HsGURw+FN37S3BgbClve4dF5/GRZ1tJN5LvfCKbg0vDbPLTyHAFXdKLlyRFdvIXl1H9pa
wssgSYrkDv5VV9d1EMraekZyZm9RyCzrGsdtgGCLFF2p8POcrxUTTRGgmuQ5BA803xhFO11RhIyr
UqThR9TMYp1r1S3ExQvpqtAoXU/Yy7RtMAInumzo/+gDcuO0qFsOmzknfYTuAbmGdQMf5m7SE+1i
IvzyVM52eOuEJkK0KQFz3yf4/oySYWMDlftgJ/1RznMekDYvL/RobJEruyUpehhAKPUpAX3Gf7RQ
n3wbcEzmltNNVknri8zFsUl0gyUNzt1idcS4OAaxd704m6ZU3FNv62jypurZH9Wcqeq3MZ3lQxNW
LtOymIJUptV8T45MdKOXaADdqd47Vd4E/qjBeUiImvTG5Yn+X/EpK0gZ5p3DSYK9HbHQs8NZu/Ms
4nWaZd0BE7O1kqEGhK8QpMJBMTkrMAQHIjeLa/7g0pRHRDs0msNS50c3Q8dBBjt0rwZgFysa09hD
3FA8AbBxPoIwyvdJ4n6cYHjuaJfG1IGUcqtCJfpWyRhfJB6NGyzaKifJeI71cNxKT9N3PRlygYdo
NBglDyMivX41ZrQKoxl9FMWFuE+FvSvJ8dnyOLEAVym708ghOlgpcV9kNpj3Uy2MS7/wF1QLhbir
4yldT9SwW2T26qt1+UeFLrieJVcJTeXUbF3qwlXbt/D78PF+XRg14SaMIJmTixLeJiWZfSRel0i3
6nqOV6JIu/VElhvIJXhRC4HOg+tQ0AM+f0rniTRFXFE9hkHYvEQ8VHM6XS86UQvglbY8ilswGGQ5
MmOjIHOHy0LY4QcAI5QZQm4zlkCiYr0+ufH0dgmywvLOuplE6VCPN7GdZ0goW/uEO7Kq1vHoGwwt
8uUwz5WEPK/x2ik8LeOBA81eR1MKVsnCJw6TSHFqWiyxqxy+OMF8ZJpc+EQXPRSmcHa2QQOe1lrF
G2upaWkMiTZd+SACzmea2SpbU2LFBMicHf0x0W9sANlt6k77EG259LrsAjpqddaVSronKvjUDHhI
R+16wKopNneMoMak+Q8+M1P2OU9tVSoAlb2sGygDio4Xk88pe+MB5E97qEz32Vicr2FbNY9UrPlj
3gF1SzE+fYDOoG0tOUSbHqno9exQseTA6Rl6+z1SRSSH5Ivq0x7KkEyOmlWNIpCu3rl7NzPAGKHn
q04avnh4T7NbnWjfQIA2vRSK/kC60cI9aqePRZGW12bjFddOQh95lcwsoGk89l/yzgSW36XxlybU
F0I+NX5hgwoAM2ha3RJg540PLRUP1y1hkwMuJectoTnWIa893ij+VH/ibUnvbMkhFtD056+qMDHv
qI/ZmWZI4o9RNnVfigzyZDd0NBE6BNAvmVA4627pw0e9Sw3o8IrTUgnIRl0zhY9m1rIJF2Gi+et6
CbsvkLDJPTAX6ZP1ndnlLZgDFoYunsZq66IprrbCx8ccAMHl9ojNgQIHXXB1G6NRBsMWVeEjbiJ+
xq+nvA1cEPZ2IJCz1/hW0TgHEr99Ba8HuVRQotJCcg8AoSDlW5TdWbLYPftGvZQGzHsSeqItxSu/
edE8kE1ipP0YxMKftZ02qxKgZ0IKTHQq/PM01kUZOG1B0ZqHDldJW3jVrfNpCB9lK2Psd0Oi8nYj
G1b1gMp1NTQWxM6RXIvHbyfTllo0rCzGkyR6djrKNNfALA6Pwal2GJ+itdXACMT0oZoCMOTKWxv9
WLnLk5R2D8qChA1mNmX7GqeSfzIbZY7p7cU+m9u+urVHFBVcQuatKhdLsbddm35IW+tZetahYpC7
gqCB+ILoU/kiHXqjq8GEpHjhaEZ8l83S3JW4du8L9LTXmesDEKlrT78D4tPNOAeReZ7EwJfem1Ln
M1KV86mTMuTiOfNUopsdK0LRuCY8u/T+4zmgL8NZlFrPf7+UZvclYfeSrPiw/vncye4rrIA03/lD
C2xr8IlQB4GVmBOyUJ6f1cjlXPYl/b/jCL1UBzvQU9HZsahTsudamihkyxFstGoSHNA8U2y4eQnz
/loX5L9l+CYGZFXmAmf1FEtLhwBLCZm7pdmTHmrGH4xUNzfYNvQjM+l2PxaDdV1E3kTaZZZ8XJZ4
/DDiQPnWVv+Pb/kd37Jhou/7rjUcPPVP//hmSrx8Kr7+z3/tvlZt9KNX+c+f+VuD6gkEiYiMzFe+
Dw3wvzSo9h8OejAebTQ+Sq/IX/2lQaX3+5c5GZwPLwa0pkiUUASY/5LkVJkSv+/rsuXBOc0v02kh
0712VJP5u9a/b1ZYcyov31te9GnM4mnVd6xDDAkfSs25bcmAKVXfxyuMhxl+3XZw521Ha6hXPSKq
evNgjcV86FQHqcR6cfBVV6md9TpwVacJwEH7MoeoICvVh6pURwo3f/3ISFm/0V77VapzZeX01Wov
AXqglRNOfPcmVZ2uEcBH5vXFWTkm2JrkoLaMTbPpNNMEPUC3jKbWupHFae5MG90AHbWU1lqremx2
F9pB5Y7u2pjH4c5MfJDhqisXq/6coFFHNpm9IwPv3hFFsjJVN89Vfb1edfhS1evTVdfPcDqaLaoT
SCm/EbQGyahaDapXOKuuYUH7sIL5hyJKjtBM6S0mqsuYqX6jpTqPNaESO1t1I1vVlxxVh3IUdEly
mpa96l4K1cdMVEeToubJlPQ4adMd/z97Z7YcN3Ju3SeCA4kZt4WaWSySRVIUeYOgSApDYkzMePqz
UO7fluVzusP/te/aDkk1AYlv2HttnhTQ4RIGlekyCZ3bAsU+w9FhmZLmjEtbxqZMWe7CZY7aafW4
r0xmcqNbiou/zFvbZfKKLmebY6GaRZtfJKqXU5J5qlulbLQljV12qxDqDxvD6zllilp+7+gYH1jU
k23eaC0ugIIyuIqw7tSmFj7i/7RvLDnxTNNyW+2j1qk5darkrMps+B76HJcIVf1vY27KYlWWHYOb
kqlXDA9p0wxkpgMe9h7cYeCcy0wKicwAG9eaXvXqJilPKIwj2bdCFuTEZ2RK6EYGTLC4PvFFxoA8
0it1YljkrSGjCb483+jIs+iYHzRGVRxVE5LvMJeERsCnpUqtvcIFJAJMFGJkCZEYs3l5M7Hw2BqD
m765BvXFGjsm0REG89wrntQzw3wz5kn5KGQpzqYzljfW8gSg3E3fqgo0x8oXLo+sRM5im6fauGkZ
NN5Pdp+cO6CJBfQTawT/1/D7YXDZw1Rlu24j/1yr2gPJrJvZN7Ix9B+qc80DCKkuDSIYCXsEkfwZ
TGT3fIFawGAadh3EAfHErAiRX8s/iWZi6tZ6EU33RsSlaXfhJPd20/Ph6ymaLhgheY95qdNFOR0V
JkAAGZgY5TaVl/EPCgTE9eYamTH1hD2NbV69xtx/u8RhsYYEko43HJOGRJiY/I9KFMl5qhkUAHTt
d6Izqy97pJ8Mu7K6u76zFHWuR4io4J/PDMN9iBaLFI852wnMMPYerHEZjS3xGNlSqBV20T01qTUQ
CQCPLkiWD35tVNnhts/umPMHszA1DnbPIbJGpjttdL9BLjhY6dv1Skvtllebkbt1K4Hv8OYaFeJZ
fnk3VEDSVxRnzDgZsHyjXDNehmLZY7S55T4oO7IOJSCmi6CmWytFV2Lg87D2Vc+P2pFBciSxnl/N
IHl8mw15+9m6cXIu9NK5Ax823dShMC4Yg7zLQBjfJuaKBLzi2+GbbzAnG2wCP1bXECit93hFdwIo
m0Wx9ljOqB5n3IuPdUQ3VmatDyqIXysfCApJognmZyMX6gnuOi8oIUcQtW7ZJ1E3VrhyvMXA40T8
893AYtvNMDLi7iIfzPNePUZ+gVGXSdCk87kp4nNfT/ed1jz1NbV6b5dvBYjMiIyqwPdujbajr4/u
44XPk7XxPk/VT3vwb3wszKuWirgw3MvYmHQP8a515m+RavAu6aN3chjwMzy2oSVoK6OaysAzivLS
8hzrVsaiqxaJcC5UP8+NSMUZADRhP8KL1o5bYQNzUT8m+XSGJLUexnTdhOXRLNzwHvjpeCdGMlC9
MmJbM3hOvHNKma48v7c2YPQZqrBX3pOyWQWtJ+t4rUGxLACjgQj9qouehBjyVm7SuWs2hZGLAzLb
DyVawvjsBx6TxD/1nUldGoWvWmR8bzTvY+qQms8FuOCsB0OWTwVC4NycsJ3NtJFgOfugcpzyEUe3
FfRxOn/mvU25xv5t0R1sq3Z8LNKO+FJX7tCBxYFtz/zAiSO2Y92FkKMmiadDPGNPNVYUrQc5TvkB
JKm5HziE1zrpUZhtZQhJraMdnRdYV/la6x0bw6LUT5PU3aPiwmd7gfMIItyrLvI60PJ61YnppzlV
lyrx3K/EYAYGXlR/cxnarYWUT9ig0/dp0swN9zpkVbMGE9sVLCAYdC/ZIFa96ueZ88Dss32UzibF
q6dbwcx0yQ8f67z5jKc23OiFN51Zpg6YOCJWMeQ2GTjgixn3PKa34lQK55xx5j9wWanFIyfABE3W
ZjC6AihKp6V7WchqbTVav2qEUX01Nqmzc24cppw8L7Oq3rusNNa11/hrYqS+k47cB3rJ096nl0AI
2n1gzXjFd7XTpzp8HkSFtt6UPR5DZjalxWZZWfZziPo5cLgN6ayK6Dto4wbfn7lukSucBo+GmCLB
+7Rcu7+49FjPcqqXGoK4PDaKznQcWpKVVr0Repgr+/QZfhFNc2PlX03opl/MyzJiuHIXQHcTsp7V
GEk41rDFzX0cohxo7dzqZzdMywew1MiM4prKylyUIZXyzlVfDW+FPmVvA0Dbs9PiFbGpsFbKSeY1
ZmAE/HmbMD2OC7uGP5Z7/soZ0+jUsyoRR/hOAiNcg6sYx1u39aI617klom+tM2p3jlAeOSwMTPkR
S1LNVARAS6bdCa2VxRVTYEssa7siAmHGcGiPXXkuQcoeLfb8m7C2F051HX7z0WpemC8l6WZuIJox
KC+0cxt59oFKQe6EXtYg4SCME95QWptYjT+L3DDuRB61z4NKhj0U/PrFwdWMoH8q1rSF9LYuGdCa
VSUwdeeDzKnCmCJrR73kAKuEUe9LdGpBpdqUXc8UsvcSHm8rQwZhZT9cgGqrRoXDnXQ0/VaFhdpm
Zql2tYG8q4MMEVAz3MKI3CJg3UVGRB/sza+pUliW06JngT3UKpiFFKsEENQ2t3RSapS0dnM53xJH
Ne0UK62V0ZHRbWdNfz9LajzZlw1Prt67A4eVPdZpM7CvlNqr2fpnLMvN1+DCMKvBZG39yoFomZF7
q5k1nk1I6GtCbbjFEdUvOwxYHXZ5V7gjKwO/m1aNPtjfzGrcjcMYrRtzfpwc0z2PiSFgXOJmRCG5
c2gxg0yoTdmX0VcNIcJseeT1NVDBPkmB4OjjeEx60QRd2oSHoQ5PSVQDrrDtNYEd6WGanfEmTFGv
strQYik2jHUvvuR0FTdupznJ4vOJM1HtJFDF6MF00nrNLbzkoPGBl1Q0cikjHglRTVya/Ht2mnsN
Uhupf+eTfQ1YS69ha9C++vXoLRFs9t/z2HhuE86WOwnqp+Ya2hZLj03EyrnGufE0fKGXftB0kt7y
a+ab1Q2P4ZIDJ5ZEOIITy23a29Ytg4Xv9Wwmm7lyLolfagHwwPYSL+lymW+nd7VL4lyzZM+lSwqd
aER7OyzJdAkRdSqaWMbZpNZ5Pfl1LtjVo3UNtQM8d8+gxzgxcKkv0ZJ9ZywpeBNxeFjdwlWdd+n7
sGTlJdfYPPD1x1wjSS9Kwa3IuimCvk/gBi6Je9WSvcfoOtnpnv/ka+Ty2QT0zSaFNmOBT9cAIGjV
uTo75BNnpfURZ0bDTJ6kv+ka+pdeAwAjRig/dIaFn660gfMtSYGG11h7k+Cng0r9Rx1TDWZWahnC
BftWHuZr5OA8W9PJYvv+AOh4fsmg/t82cf5BAxoBsjdqoguHdpnRFORDJgQb1kvCYavV+acLfoUz
K2xbyOew/dSSikj54mwMNg8XolTmgBroYi4piuY1UFEs2Yq65ddrd8lbHJfkRacjg7GuzOI0X4MZ
66nN7mRRg+UA0Bj/QBACdTFc8hwBUPMo0P0l5pHWENzKkPneJ1wrDo4+ssWFXYP30qLlfp2XxMgZ
DgsIgWuQpHMNlez0oXgqlnW+vSz2w2XFTzzWCOh+PiTL+r9ahADlIglIFnGAWGQCzlUxYBdxwlIp
HUrGnCWXUERRAloHdUGxCA0Y2i2ig/YPDQLV8yJJGP8uUDAXsQJTov5nvAgY3EXKoBZRw4i6QS4y
h2YRPDBVP0mFd7+KEEM4ud7fR4tAwlykEkQgUN0u8gl7EVKoRVKRLuIK3tgzjV9IIHVcbrUUCUZ2
VWNcRxn/nfr8xdTHRMeJ3u0fgsB/m/p8+wJvULS/8qT++Dt/TH1cQXTwQmtabL1MWxazwR9TH9f8
G6ZfhJcMIFGUY739x9THIlV4QV94BsgpdojuP6dAlvE3F9YUzDvGQALZtPufjIEWSe4v4j6ynNhN
sBpGgo0Q2VpGXL8OgTxImDNYN3vveQw6YSx5pBTU5l+ICBdp5y+vAp1P4G52IGEhxuSb+E36GXZU
4mYZhfsuhfPETpc9ujeGtB8t7W2OQvyQwYKBUoNs8/WX3+P+3wWay+/1by/OQAmuH18bA7bfPiK7
g2w0pefvI7pBuXVVwwZ5FLzusn5PhVG+R35e+SgOE3PdzFPyNWoEaWwc5ZgQeQSDng6BBP1Xxqgb
8UUn2SY3XlrwbMlCcLqTqgDLRfNt17jhBQbzsP7/+BDuwhizfd3mQvrtG9SZK5nELPh71ADGZrRg
x+Uau+LEHabn2tRZlQhJBoWWY/dgl1+9Dsuq2qZn4v0x4r934Bvdl43nrfSeja1PRBDbQ5kdRr+X
JNkO4ilHl76dihllkpZzFv75Z/hNtHq9CDAOI0G/Qhf/zYpmmV1HZIu/T0x2+EqfQdP2CpoVMKY/
f6VF/vr75YZ5GP0vHi4bj/6/XtQ2hU5eCV6pNwEfon/jx3PQW6jWrB90G+H5n7/ebzfR9ZMxC0ED
zCVu+OZyBf4ySTVEUxS5lvF6EWpjThToP13k/4W8/n/5/hgfW4yAPZMm8HcrmK84LrIByJmCHwXq
Iv3JsC/Zy8Z7+vOPczX8//b9Yb/Go3+1ZvzboYDxxmBG4nh7gwCUw+yCcYx9rplp4oebchPRD+7e
hsFeC06lt71ThUV1bS2ClLgr5pvctsHGTA6jJ6e3m1UlYB6vemHOe+a/4bHMUCVhdZiee5b/UwDN
i0dblA4zkOmIF2EXbWzw5iVAa53mZSBZZf/nH5Iwk9+vEqxEAruCi6sdy6K9KLt/+dVCI4TmPqtx
P6Q0tzkrXSS4YXNAriK3pWwMas/yJys7bW1L9o9cvOk+I8Ns24uq3cpKqTO0mQEBc2Gua6fQX4Qh
k7NNdNmbO+T5i42aSyHRexR+jrJHDZkIlBNmT4Yu/W08g3No0VQ9E5FmrIsomXZENIi0j944zuTe
aW00YWy69n3CrJKnCyOZKjRotB00LYU/BaWdMG5iHrtr0M08qdBODylVwLoQNSIAJhofMQ+eICec
52BVc39XZWJYWnvXOuVene360LE3FQRrcrGx7jkdgoigxcixl6qU3wgDwcQH5qjIJ+3O9qvpc5qI
B2Hu1G4i2Zo7O7Rgy6VODCtUVs6abGbrwY5N/QklEHHMUSx/VpRvBE/r/sSgSZGDDQcL9URZxON3
1ytQ7OUGCW6+nxEGlY6nmVryzsnIHWs9hukrM0+GO8KN6h9Fmtnvet1stNFPQULLL01q3q1WZCAA
oyTaaK46wrbnXTui3kjDP+AvKc5lWOGiGAu26pFSGtjyYqdX6Wn5PjFNs6I3fQ+GS0nuiMjNVztG
o2yNsX5A1pqfrLCanrVMYhYREG/OotOYB049gdQ6z5cgzQdzZ5S+d+hmy3xXodPcA2hrikOrd35Q
u435JK1tEVdcET0DJLas5ntZq3IrYwOjYDUC4i6NQj2zHeiCUo4DPw1zPBqVaI+ZZRvH5oMR5t2G
s60/tFmJeAS+lbdSsfFpKn5z5YjqYVLZbRLacaBBkVv3UdatAfWrFQo2cuB0/UjTRTJ6BJI19ceI
GVV0G0bOWzxO+j5uW+TD0G82qXJe2E2/G3lRrAfVpIGWMtBv7ZAUaqXEiQ4Vg6Yt/VUJOwS9AAii
Lq21VdvTC+HKjTmiOsh8ebF4+UryIojR2ckGZdKkeUzaqnjizYzhNiZNK4ilSRggBgOmUTyM3DWP
IeSfkefgahyWNjlyjJ1qGu3GZnxxajVGGIpgrHdElPpDh8Ka+OiJrRkyorQCDE1+1Irmrr6ZsOAc
4mLM9sJM9L1bcrs42lQy5fRrY5bdxgCYtordGEljC2xo1NPiQ6Hl/56Govt03Gb6bvZqOJJK1h8k
3G4MjBWebV2rdnXLZMEO9f7QCe4vbQKugJx9isyVnrqNONAhAGhci9rJN7ke5QsnaXy2MOVvgc7E
Bx3A+saixQvSibmgj1N+J5wa1vmiJ4GuvkT28j/TomNMlsDNP/qsxtmodBPDL+Lj6ZPkNkz76Wff
qqE861OUrcOKomDuARmp0kDtaOQo1yKeHIL+b2XoDBf1fkDP2cbqiNWVtldNcm3E+nTDmKp5mf0B
pSE36nlKdBjBMsSGv9Krsv8SqRrWfsaGe0pT9RG7Y0T0IdqlOGmLE/YH8aTp1BdZWcV3Ug5UJ4t0
siwHfeWgrOXdZSOrmg6OKMMJR16QoNXf09REz63PwzrRqAuRXkw7AgXMw2DVcgteofuGfSE7sDJH
p6jF+j5LLc4eVo40uJRfTlaGpBhZvK/JrM5mPIdHt4E0w5TNFQGuNblOSTHb+Krnk8skvoPcNqyv
utG6nY2NZVvR3exW6BGZ7fB3DD9rXq76YiLoeSdklOo7hDZ8JA0eJoI6d46ClrAmvCaocwUHQ8Dg
ONlVrTHvyfzLApBs4ZFaxYa07uBtIGP5iIzBWwkTfSU1cP8t6RXnOm33MZ2YOCO3sAwGaeSxh4Vm
37QMni4TL8BwO+PJO4cuW0Gy5e23IbTRkJOU1150pJqrUEbdRekGuBvoj991z75ppADqzDho16QG
vC3qRfPGHhGO1RwKQnXmuTdra1vF9XjIpUEWRJbG25JlzQad0ROULCMY2hb5gxzsDel294zX/CWn
Kep3iBKneMfX78oPZXl1fAIPWqNJIq9l1Y4FUywol/pawcgMT36YQwazxqlBPeQZVnweB2PM58P1
8f7fhvUvGlaSShc//v/dsO7fh/ck+bVf/eOv/NGvCtsCgQ413UXRgy5paUr/6FdpUv+Gms2Cj0Pz
yR+hlf1DpWAYfwPVQ1+KuxT3J0bTf6gWBLR1fckgIuvWFYsF9T/pV3/LOl06SA9bNG+LEsiDIfWb
agH4RDandmQ8Nk216KrJkZ2oLHmfwZwheaosRPBxkqmPysWXEMdSuzANn3aFpU1VkCUeLLpmXPJp
Qto07uGg9bWKaXdfvTa6zr/D/ASbmNaXyX2qxgoyJtK0QxmjyO8sw9hcVfGGphN1sJggrjp7wJLy
grx93vsRQQex0LqvYtaoZzHKWYAoOWpGkicz5vPt8O4TTPHucvcnLAH42gJuJIplJdW8ZWVbH+1J
q3505P+8t9Ewkf+AJguF3fQ6Kbiu4NqlyxZ3br96FQkWbpl1iAA4PUSxg1xZSxJYeY3xvMgU5F/0
otd25p/twfUnWAyj/Ko6jbpYWGq/Fs75bFkgnXGPzIr8OdvsKCCNUWE5AbDMwsaoW/DsRu7fl25l
nIrB4KNVjlfaQSJ11p1xOm1c10YiPHf97Uy1cjawwH0KmHwvRW03l5jSZmMnaXrLBhjjubesntkB
e7soVuAaqHbvPE89t5kJK6IaTpjnjCcjNnZERX6mtVP/+OUm+V+mCP6/+jz50JbuLhcwfaVu8RT4
raeEIutFoV4Vj1aZh69i+fWjshTfhWHxpHJ1degIzDnAl243Vsy6g5CPdt42jD9vx27Uf1QS8DHg
zmG8iwpLHgl4sh/Dif+qAdR8GVUpbiLNGO5iUjJOZlSTteiF31APGHDF2O3LgueoIzN9n5AdsIs1
pe0kGu81IT3tZtYpesHf6/2NPpufhdOdBmWIfduF9h4O7iJ7w+uejJPcjDbPfZ21OErC14xEuqNl
lcMH7GqTva85fFQMGA/ulKm9asnMCGM2KFXfbdtkGC/clPLs9ho3UwPwRJqfOuo3JPWhciBbp8yM
PWbIQcKarFsnCTapEtHjjsgiFusJUwm3QNQ9FvxKtE5JepuTyXWavMyg5CyqLw+yLiYDqk4IBJCJ
9wguBbVz0+wRfiY3GVXq7TWM0itEf2szWm/ZMXcE9tXxnO4n/KB+MEMJvWhJO941xB2dTCCO22T2
5v1gL/emJmfok0PzAly8/uEjZj1ZlvIDHWnH+c+vnd/OLMBwngGtnRUOxGl+S39x2P7SaZKXgjWo
dzVwz/r8gIeg2GmiQfYxDh5PaRoEQBBcO6qcPzB0YbUk12AK4GvEn2lVjufKMcJj3er1i1tb1TqL
M31Xe9X3EYfhuu6c/BlStc8aW9l4Bgmk2mX89qcSRjj5DvidiOcZN6xTjcuos9ACT8tHnTptugU7
kAQcV9O2x8S+HKilZKlctWJjtxrRTkjA+DfHfjwrWc4P18u2SnFMJfCWb1Vti5OoyvBnmXn6d0/L
mxcfp/dLQfrkGdWLSgmjifN4zWow+VHoxDWVSsuDDux7DKakw545zdLdSC/27jy9Rtvx51//dbD0
z/Nq+foXipwL+hGeP9K53xr9oRYNmymF8UVVjsa61xWrSdXaY0pq160SUOQDp260p3RKYNTaY+VX
t6OiOd15RISxS+YeRMWQ1eHRk331LnsHa63PDD9iManCV3QWfJhFpERt2mnb//wDWMvjFfQ/z2Vs
cv96/RSzbJSAYHDJnLndjKkYz5S70bZmlqAYW3LOgInmvDCWiUsRE4zkeEX1roe6fSMGJ8QCpEwO
5ql8N0dXnJwBqX1sYEnZ1pkXPmVujdg1hgjsrf78vV+fx799+ZZruejCDRdW+e/vHclTomZrsC9l
Z2NAGpom/MnVHDLGwsP3TRCZe5uOzXiXuX2xa9Hfo8UrCgLMqqQ/4kpOggERzSGzB2Ttbq09tQSn
7uhNWlYydVfczV6TnNiXjfdDDpofFePQ/Ox5TPATJdaPJhy6gz7PHkZahqf3HYbNgmrYJdksxa80
Gih0WtxmLwY+y73mYXYhrdXYhAwzt2Dro22VxeMrRkhiRIc+ZFkUq4VHXxDHaxjjl4gazisjtwge
bSpDbEhW8kGayx8YbfaAhYt6ZcqqOmQWEo3C5VanJhjvr7de6GvRpwq1uCfjmv+zQ/BxnEdlXNj3
oe3KU7MP0DnEn3rVzNtUj8NXrrz+y8ry5QRZvprUDY+wQedbi5QW0jxzTr5qoQBNRi6f9MqYyU2p
neS7m6cfZokRoI7i8SAHownUomTR8KycULQ3axsF0TnFOlD8xYVAkchV+i9XAjAbagYIJCSTUQ7+
VjZwVuddI/v6whq5dUmC4wZbXc9m0tbY4UMBAJ68SOpw9UVbSrHq3cGri26RM2kT5c0h1mp3HWdp
hhMITQnGVD2RQY8lI8eXV2xbQpe5XYWr/5gGPXvm+G9/GGynv7rEtbS179i5i2vVwxBXUI7d9kVr
b3JXn7gOrMLEU2pmYbbNRIhW3p/zbu+x6ltPc+Ue8GI+IxAT4AiwvWaBZjBFrx3tgdX9hBe207tP
3KcckbIAcFDiJoIjD2SKu3bvZslSci6/KxL+9qVBDm9rEhXgaCTzxjenF1GRYMYUz1zxfuJ8xY68
2PmRxcWaGg3zOc9zP1jiMOjpe3kkT07fky1MZDW7+no3o3Mob5mnWDgXOhl/4zmQfGu0FILPXA0m
7XeSpy8NmjhkebJ2on1M3cLoxuQ0wNBQxZ+a74qL1g9LgYOb5ah7I4+qJnfWCqt1tDLjrt0gGMx1
Pi64vFVWLtaPZlD8d9h2i3o+BokReE5jWetsBj4fRW1zCHHpWqtZpOaP2AzBgUXA1eQNeYdL+eNP
D3iGSm0zIx74QSAk52pbM69Y5Jl6oBWzOEX2II8TFwJ6tYFpqGZNMfIYYZpLLDAstEnv5gf8/SEC
QDcdL4racg/dHhh708zzT8OR3gFLoLYhdEo6Kw8lEoMwNQ8bq+9JOm+cJIZlwSp2UBpXYVJTZa5G
+D8tuHU2r1Wor/EfZT9dd7iw6yWZ3aZsZZiJSw2ti8zPrpvH90buDgEPA59vxp/mh+uJ+t/O9q86
Wx4iPPj+78728Pkel//S2P79b/y/xlZAc2bfyiLSIjCENvafja1waV9NWl/qNG/Ztf7R1lo+AOil
zWHZgUeSO+wfba1FTpAPeYW2djnP6Ib/k7aW1LHfTsflX4ApAVEah4z4+7bilxpRirDubDd0zlhE
tEMUFmN9U2A3xMhOxjw+UB5UuTTR/RKIlj3OSWX7PwD2fsXgxx4tFxR/IErziSiw8UW6WnIDmGjE
KsLSKMRU7DBf9ufGL9ca8rv2glMvIuA8Gob6WS/qUFsVfZKZ+Y30k4YBV5amZxcCNepVSoQtbuDi
kIcTh1/a1UE+LQGxeWatISjaW6Ap9MWp3z3IigzxVaoP4SlDuXdqOqPdTU5fHw1fDZ/sk96svEVk
5zf6azaQSKBXSfWmcqkHyMwc/L/NO9Nsbk2oC+g9XUPFN/MUj3smj9aWH0o7F7SfOIrdfhvrHvVX
oHxqbBW4VSfyfms3GYoLIxnSOy2OjZeezGyrM6s1YM8qaJJYvzCZR5za1cUaONRLZif+82iPEy36
uAS7+y/j6DmbXp+C0OzzB/rdem91yjirPKfTQxdOKm+SnODXDwfbiZNbX8ve/bZG7Qp8aGNjML8h
m9TfZaXW/2ikGx6m0Da3JOtmX3mWUECknvhaCteao0eVe99IvroO2j4GwfG7LbyhWEUkIjPZ9KKg
zjPvzTA6KHhuSoiOV77kSf5Sa7x0UVeghuKhB6KmMYY0i3IDitIN7MrNi5U7FMzUM+SpYmUmfv7o
ziNsNyyR1WG5Ip8ZuTtbrKUY4zADyD2i8pqHsOvCzi57JvEaUqidTqs5QewZB3JTpYgulhTynh3H
fBcSSxDEs1WfYtMAy5/oo82rmCVuBdfaWWlGuZxrZvI4OE12suHanGJ0bLfwUcFqEjR5P6habYum
GT9az8qKFd1UG3RSA7YPd6bjzGdon7vpcEItl+xHu2hObejhrhidIfqMcXIHWYXFF2o0iW9TV7k3
gg6XVJjW1c94Lpg8K5+dsyoMvSCzrfdXkYer3hwn4JWY3gxgEbJGtqO7ydqI4n7LegfAhJZrhMMQ
xnvT5zkbmbay8MMzTVVbn9CbpOZNubVTHZEONM8REiUCbcmG/Vlio9h4HnthF2/HSdnapzPbsBnj
OGXDztYFP742EJww0y6bYCK2bqr7L3gD5KpX7k0V4j9h50CUDkTPH70jsq2BjPqDZISZIjHveWD1
sbPjgWWvUDQP3/3SMpkWhS7QOi/cdi0IhqCQw3RTDprVBh6WnyMZSUO1zik6NxPEpHuoLuWGnRue
fgeIZDuagGBwQl4ynOM7ls7dN8ATJWibApRVGvIwdP0oudEqHMw2MTl54Pl8JKdECEef5JPq5bJl
nFU/bViKpCjdwmmTDN783I/1uOrpybYxYWLr2J/4SVorvI29Qt07RHiK0FNPTIKcC6uQvSrM+W5A
vBWQAXq0O25rTD7GeEjCHJ3l4JT3kK80aDiiGVde5U2Pssmq27zpGQgZdfqGZ7xmzoeOuhvUQDBy
EoeHQvfdxzGtjcBHvWmOlX6LBBA1czk8sIpQpyklzYvDUz83HT83jos4KHJym3qdsOXIHPTDXItP
bE/OubLq4gCJyzjkTUfMEfKDANOzweQwjHYKZPM6TKonza0m4E+G2T6id52+cr2qgllzJ7YoaBvd
qc4ZAQoE/VSUcSASW+7cbmTnE3KQ68bc3iRxNz4XmW5t66qIKAl751bHwMhqhYPIB5q6DqEHvJql
Hu/Z1lOljhl0WKudNKTrtvPKQ3DeE46pscRhWzcOsRmA2O5+piG5SZadlJemZihaQQylxtHfozmP
NrXIyGEiwgWUeKPROVGsv9JWtCeVZxdixbpj7LN0ZTVY3cATaO/nAkHmMHrzvS7IzWhiJZc2K5w3
VuSoXW4h6kUs6K0b6fXrzo2tr2gR2Q/u+NFhaggkZ2bGNoMUEoU3+xRrSNLLyh5eKshUgSWq+QJq
3McpUjqv0Ay5N8j2hjvkQcRI5HhL6LfGgRWBE7AT601mPc5xt07OIiyK3ayX4n3IIwvLy/yMkpMA
qmEy9nbvkEitk1n3mCRiBBMyewcay8usiwPVA32BMoWzkfrED1wYtr92k/5hqGT0oo02UMOOiEsC
0OP7NGumYqURp/tNjxzWdmbtHiMvrjxO0NDfc27i1m/1U+Nq5mWeu3tSaNnaZ0B7QKvIwObaYyph
5AsdaMUtQdviC7gdcxQf2FdfJEYeZMuqJPnSDKPAKiJvn4xOt428NtvA48kD3QtPOGwlwSdNRyWe
sied4TsMFfohbqh42+X0Q1HbpWzIM8hTXphTbyuO7yEc3uNEr3Zarzs3c9+4H8LNMgLgKqKUG/VA
fJ79CF/sWZ8seN9+WKNBNd2DIuhs53Vut6nJan9u8rg72k7+ns5pe4hTYIy1TBbgO3albs7gFY1a
1BwTJLV47CLr0kRFeT8vNB8ISHYPy/YBloXxCnlkYImEA4U+L+xfRJJo+2zubVb5SXo0Epu9VVpT
fwNmcKxvozZYKx1g1yYpTBbTUZ89+V5U7brWq+9gBQgSeirITXX45eHXIog6ZnXd+MhfEYHvG4jq
p5goxZvKltH33m9wMzd9ua5mwBGWY88/Ybw9xezJA0Om7qMMeQutkNjmwNusnNS87TlVN1Us3sIG
mUteWpB/qvKEmGcCmjGeplBYz1kt8aoByNlYmup3IN7JPR9l+Ka6adxZY6LeEIyiJvY7H6G30R/c
AS0K28C3QXCusMgU2wjVsFwEvEhb3rXOxkA2Qa93vXQ++kRxuzLKbsb2xi1hhUMmzPszm+dowe4C
RNDd7DnVnOKRokreFLXHo94WNETJIMlaRu4jdr4bVWe2tdvcMQncYZx4C8wH9t1oa7s4tfKtHhvR
yaUT2yiS2PcRAl5MEzCr7vEWjIfYynDAeJ1aszu2MUIOb6ShpQGYJZuUtEHMdxWGvEDaShzLWRVb
2xvG984jam3V1AB/Qtk49kpmUV2sHKxoqNzm8aP4H/bOZDluZNuy/1Lj8jT0DpjVq0EEoiUjyCAp
UuQERpES+s7R4+trQbqNknlLspzfQSqVpqQQDeDu55y9106j6sVB/aZxzH3NQy/weSHf8i6vtwmS
8XI9FUIdpkZzCc9LxZ6WYOqsZZ2SZahbaXGqRgNrXGo5m6HPaUaA/XgHgmJg1p8HtjQHnzbyPJx0
aXLDuRddnZZtEUrNWy2o2EGHQD/OrANYTjhtRowS9oEptG8ufNJVy1x31bU4zEqnDTcACdWKo4fa
APu92GDCzFWjTajwg2ZxYRrYxPmqX4AAh3uq+mAji65qVjjC6M82XbPGPtb49ZBhB6plID/Xkaa8
rd7JBSmnXWTFhrTCFJac9aHV38ZKZjcQDVkQegMhI/H126CYoR7eI8XsEjIBejcq3+Iu7zGiknXv
5Q9yjNLUOga2G6dX7eh65cMw9XxqUBVGIeiwFZyUmcADS0MAkumyXxd4333oZKn0J5RNvmiDZBFM
TOPXCurV++DxCjkj2J/5mfJFAOHaTkZfHfB0jGql92DBYQHFx65361Nd8X+XjVM+mzx5ZjqpLVcE
FUmAIJoQmHcxYQVkv1VjQR9N009lPLoHUlpnnmCc1WfZOQ8zfKxVjQHx3cqqJljNcq6uiCsYNpiy
1J3KkbwmTq4w+lX5RRuYsyP+mvDDREO3tzJkNqwGk8+pD7mQxRHGGJql5xQj01KZtQGqYVxpRQPW
Q2MSFtsajH3ahr7tIJhbScH1tLQqyWroracGfgO9r7jCK9TowljVWkYmOp/cHY0axmRZOz0PdnAT
JuRJrLTMG+9HEDJ+nxBTvm67WTtNVWisk7ZpGKwjplg1tut0gBwquujswviRsZlB/KB5tmqqIj+O
eZI8hG7WPpM/5lAzNf0ZsWd4n9tzgwCUDzvIo2RHWDLVl23kRCIE/aCQaY00J7tKO0xJU98HQa61
PjHPya7D43igOV3ctaEHAZB02UcVKaZioJQ+F2X4GNBcu7YMel646TSxN41lalt4iPO7XruSCG/v
kcA1hU8iaSFPUDSsSxHVr3JWyKSqeSRZGqXHvHbBDcbreA5JtdWAWdyk2ZQ9JYi4PrnJEOyYwegh
Mw3d2FEKtZ/Q0g/vPVC+dQVeBo5EWPm8omKbqISHkP7+jLGqtbFX1YCZEInWhk+4xvBl5tTHiV8g
XFTlON3W0k1JwSai8U6FaH+0eqZlDH7K2DSu0DeGhG2KqTk+RPOcXAN2jg+56ckzoBUK2NHhZtLE
l8wtZ6R+mG5Wjo64jXQ3Fg3NTqenlKUCZVk/aOs5kTMiohLDF6T5XWv02V2xnJPMmfuKVnq70msN
5jtSw3XFyZc5jFfuC5RKcInQ7VF/LgdZ3VbXtsnhOi60BTcyYx2f6kECPwEVW38u28HNb/Q0aUyo
gA7FWK2zC8Bsoz267pB3agMMHmd+F1OhDbe6h1HPiXBFxkUvpqe2GKvxYR4EHtyVaCl429tOaxhf
bLoOyWWFkEmNwxUfiXJhFIZ1hPu30Ussc/87t/omsnB2nudw3JF3Vz8Q+jo+/tT++Q8z2+/Z5j93
nF2N4Q8KYFw6iBXsRRjx89ytqschyUx9OBOyY/vCQ+SlGz3fSH4Q8GSD8MXIzV2fGEcztbfCUls7
0jeuJAa9Y2ZWthve6s6bEwh5f1MNjRyd18Y8R4e6jvr0Y6hLrvd1oQXGcK4qdZYVZ8VgH/e/mzx+
aCotFwHuAP8aa40mP34AdtKOFL1E0cYGETb844hsW8jyx4Dqvy3J37Yk3cXK8IuWZJbFBXDXP3cl
v//QP7qSpM/hMDbIN7MxJ9B95O/7h9zG0/+wl3CFJWfDM7iJaVj+sy9p8EfY711MFZKaeukmspW1
0f/8L9P5Y0myga/tLTIcbrG/05d0rL+opOkhAvGhC4rv1ZTfdRE/9SVjJ6Z9ozfRcawBHayGqrRX
9hK7WNWSVs80EsZodfjMqrRmULxww+mN9a6NvbWhgNwrPScww13CHWdUx8Em+5752C7xj5inSYLU
v6dCpl6inurvWZEQ7ciNnIIM9nBvND0nZbTKK6wWpEx23xMngyV8ksRryea2RFIyI2qtVbEEVVJN
mGrTw0wlv3JAEMjIscJM5wrm/EvU5XfPfOt6UMtmjSTMqMraZj25tmH7Oo0m49ozyA9vvNw5DchC
Vnnf3TVLvCZyTrZjDnKkbtpLAGe1RHGiEm7PKjTyuwUAUWzkWAogce4Y2qvC1kKqvaS6y+wKXEI4
1HREymkfEtd0NCoVX7Hs7vBzIkqOyrjc2gV6bYPoUj7MwUh1f7ThnlmtNJ4yD3dkjPz+XjdgW3uR
9RICKSSAePLQy5rmbWck6tCXhKlGunEbOTMTvcKRGzHhQxwrkd2aUmRkXQ93tsaZ1s4yxPzVKKM3
mH3VzpIQnOlgpVd6ngPpc8b6rlcs6qsuisMTx07rPETLoIwzSHetDZvaKMtzUKn8W9I73rYn8mnb
2MxjaIQ1d2jW3+wAA6EegK5zBApbp+EXwGVPHhCWlaJDua4y+9gPJWApqLL3iWrMO3P0xiuzksNt
3GggS9PoS0Ik3KtdOoPPpnFFa2pCt4m8gGkyuaRORbBoOeb3mUpzOl5ZczbMNGJCC20u8NKLypL2
LMa0W8c8sZ8w3gUrqzFG1K0NqdEgwze6zSsV4AF9rQ/Ch9mV8LAyt4YwlhQllXaB2hXhTKVfmVGt
HRk5vWf8/4j0rezC/BoMGIgZ705CTr4gbuxpgQUJ7Xf42WdL0NJMKnaUFEjhbhZdcacZ3NHS6dpr
I7Wsq4nxdaVMa8vRvTmVhBY+0weExM+gLDpaSaT7lZVmjJPN3vJrlLU7Du7hVpAt7BAUedQi59T3
TQ0YzUG0X5dusnaTkXNXkfUM+bgHQUFPUL4CuC6oCR4FOwKW8TtyALRtIK+sHhwYrm6M6V1yG5nq
RiC90tGLIPi17jh7ZJvCrd6aSkrUTuXjtOS5MKt+yaXKtiCw2mmdx8aVbdF9gsJwlU3vIsTxXBJm
jC9Ge7I6sub7yQv21dCL0+B63iboqtBPNOuZxbC5Map83Aq64kRhhvZhgnXxaAEdhaYtGxqXjLYF
fmknEUfJkW0F+e0ZcCWJzTJXO9QMBgff49zG5NO20QplL0HcADsCSgj4Siv8uWRhj0m+GYYq3qaE
364tjkJ3bmBml8q1wwPpLuCdqcoO5GqNl3wkW7hoUxjrbNi7OR2dk6V6oH/mcFCTFaQ+Dcjhgizh
EfaC2It6ss80raOCB6xsrEFDas+c3fNrnbr4dgoGM78GO3bOlfuFYbG9cZzZe0g4FW6JV0yB0sbB
7WS68Q3W49fCIpecvGG6qrH+6lQ94tpIae1Lo3jLgIorX1WZcRVmBSW4YXNLayHB3LmVcb6LstuJ
ZXcVjax3hKmCP5TF9DJ3HsETAetz33EPxtM4vXjTCKYyR/J9XysYFhoqrdAt8psSVgviZY9z6W1o
B2A0KmoipiUWh73M7pl2zkl5qNIeUGxctITRVYV31ybyW1XSvw0NsG9D5GY0FVwdRzwIbHdVOUVe
Lom/eTdSOHc2zf4qdsRWnxGQu0abb6cIMh+LO+3MsXuMsqnRrf3E6P6YF1rUsbeI+i0VsD0RWyak
DRBGb1AfKAwIK5wH7j7taIBcj5ZyLiMb9r2pAh6RdODWo1PV258bPVbHaM5xthDlZ39pufvjtU6w
GH1YEUhysp1K3tXw6ykSsDsfS4PgwnoKxLb1kiLcB3V7mIg5uImyLrsHNWzKleoB7kdpwI3rzUP0
XLlWs8Fqk+91EoVf8clp3goqOGlH4dRa16GpdLpLVkU7bB4ITewrKt3B7Pt+hZATqzZL+7citTia
E6kznNq+aW7RgNQafN2J4pmBOxJw6LfmuCIsqHvSYFC+1kqLn9mToRFBiTtBEchvgt72vmlj1MFh
zwKTqX/aP4k0m8+5Jg9IkRhT5abzbheezSwchV4Hu7TPNiFI/YNd9gdiv/N14+rG5KMUXMaLAZ8i
jbrIfez6yb6mNZW9i0RL8MF3iynOqeLhEtSW88g+4m0q5h7bjhGnoPmD5J5cR1ROBxWP41tKVWOx
GIXgJtKivx0lRQ8YlkjcxonTEGVn5uoZant6NjO0UNzFrSVR66Mk97o6fbfQgiC1gNfYZINB3VgE
BwZWOfQTXEN+Vbb1zVyboAKRC7nTygDin28mw9NOyH2GZ3uYhq+BG9UvqJD7bSESClwReiERh/Uk
jsjG+lucDnRxzEYRJa1Nzc0EIpSoJiDA+05CzN5LMVQvXjgiFZrmoDtUOvJKP4mTmtYJapyn2o1x
4ril2d4lFtM3aKlmDfqjyg48c0AFO0NDCjhZVPi8cm9jSqU9B14bWJsi1tLR13th77rMiu8CbCE7
BllyXTCyAADlWvAhzIiGr633TJhSQ15PQ1sf9ah1fKeyNH/quwa0CDeczKp5Ta6Ztak1u15D5W43
pEl41kpvqoveNa3fMAm/zkSPSV3in/dHmVSHRlqqWOVZoZ5TlSzK37BrdPR9Tfk5nWBxbVrglDUE
7Hr+ukSVnwKN6ZNpOF+sMPI+ScSyr2XYlFszwvngs8QHOdaqFHIDWResiAxmNYyumjx5syVfeltl
AEQqcEdGaM/g6c3J/CIH5sRtoJuPHuyLeOXm5khjTDH6LEqj3ANG5Lfp3KXuHqjrdOemASaFEdHX
a+/1YGsLu3qhOm8vtgfQZJ2MhvbczRwgN6E2dNxLWtOtoIjp77iG6mQT5E4oSA9Pgs8wAIpPqLGd
ZmuiarrqGqw5fSIEDF/VMC4nduCQhOmtNnfx57qQ53DqoeLlPfBXsYE9w3Bpar2L1XrauQPB4GNJ
ZgyJ4c7ACMfZ0NVDuUPDhXnCxpr0BU+RQWgUUpnHwpokY7l8oLmsC1Of1noTa5B9w/DcYELZDEhy
DkaSIb227NafKzPbdprWXetMAJ1O5V+jxOgIdekcSUoKredVDy3KT51WfQpRJXxxkLlsezx76Ypv
c14oLFZ3iowxRXZupmCDApuWTqzCxCIIwkreK0gdxYriE66CiDKWFnM4lYyNnrJgzB5okEU7LbYF
9UHQXStmOnRhyY69SlXurUONM2I+hEd3Jt9kWyD027uxVxMIY4Tp58aVOsr6YGAKEMU2GKKqMpwN
U9H5KhV6dRyQf1zzDrNrgyz5t2COW0B6bYt/su63oWcWhzoLTd9I56cKGS4uGENXryEDmluzrhmO
abH6ryXlB//yd1UyIcCUrv//KvnqtWhe/1wj//iRf9TIHlnrLkoB5sFLTquhYy75pyVFM/4AgUBi
j7vkNn+Xl/6zRqaS/akmpljWaaKZDkA2pD//9//8KX+3+fDfPyc+0aH50FbxkHEzPmfKZ+PEdj5m
Rddk1WVJODpXuVG5WMQgegI41Nkx6nXXiKqtka2w3A+AiM0yOJfFpNtrZWuCU/TcolC6zxitipzS
1KFLtsEQqKxg7wYdDNzOXCzTss5msgUiRElymyvOccO5hTCLZnIy5GCt4WUxR9jih8ud696qm7c0
HC4QZSQbqSHk2oocuc0Y9VKQ1SEGwHm6F+6Mlg7LX1ytayaJPGaLBmPecfcveTGjnhGk0WgsOFIB
LdxntdvVt+ht0ntVB95zk80mA9mmJo5MqT6proiRiMhbmbzPgkzYkktMzrwZUeJigQPIjSlhKnK8
bbF7k9aF81xLie/GK4cXWuHJ7Wy3couVka43rWMIniD921VpRsJlAI3BMp1zbMHMhF+cxq4/G41p
lCAcY+8Nv+1bNk5nV1Ok8PQpMFJ+CU5955gERuD1BH2hb9rE9NajiUsByIpXX4BQRAj0pomszAFm
2YoDl4f7tisVZN2A4MxBt/s9Cvb8tmPje0TwyPqppmFHB2O6eI0xHYWX1KgdIf4KFj8R75Glxu/c
D/YlSdHLbPrSEDeMBSnubQcZcDnq1yBziodolrAgyXm6LdnO1j0d7nJtua1xsuzeeBIYd8AeAcy4
Ka2w870qA5Mmqbb6WJ8xP9hsHXFndRvdKDpiTpYpD3qorTngPsqsZGTSFdTzi5jyauvGmdjR2p4P
FsLMNy035CFi3nY/a1NwhhxTXpfgnfOdNZPUOnaz0+uM53qrRS8Jn+HHv6l7rD46CXvp3q9jja0J
oFXvWYU6JlUTDsURPvyQEe5KmFfibelm3NEap2fP5A+l7rxBt6xrb9+Xif/2HX+zohroFH8phWT2
gRYyf/257/iPH/r3mmqRJyxtw9Q9cpQ9mBb/WlNNVI+OIyEjoNIGP/OvvqMplz8xLeKrsVL8e301
/3BorzNg4iLLz7l/Z32FQPPn9ZWsORqNBvm2vALd1D/yO1RPpMqIff+4jAh8omK2bdS3WwAoLmSB
IioP5F0IuHNkCUGcVE4nPkWtnbyjIzDwTI9CVXOxznMvDnaiE6Z66MicvMKAHie3LSsW8PNYPts0
SY6Rzki8HRLSiQUEmlqL4/zIwDXdOqnXA2hIsF5XtSifce+Xpx5p2bxD/7gLBzCEoE2NaouRSHnP
fUy1vne1CLBbW0/O534YO/d2orfryzKOrhMS5q2N6fRoBXAAuvFr34roc6eA8+8pyqE/VOiqneuW
0xFru8hyiIvdj1U/H2LXHM7Zjx0BdAPbQ9k0vF3GZ0ou9TwVxL79saPkP/aXwraQw6xqAyav7ae0
R4Kz+2NrChB7slHFU96xbTEL1Qa/63u8iPr3R3X48dymnK94itOisTEz0mANIL2DrGP263QF3QRM
vNh5RrJDkOtE7lxbuk/kgTWvU6cPi2oNUN+IZLpyk66ck/c5QDNop+s2B00DoKCMsSOxvIQ7IyWD
8iyJ2jloA2IwlCpMaj1hrgDBUVguEtRIiJ5468q4Rw1DWLTZaGS26cVw0YENbh1v8VVWSbphLp6t
p3QiNa1sakg3eXqtRGzu6MXkB6QM3Y66skZtU5TOisKjO7j9uJZdlG7znJhqk6yhG9ugEugjImEd
K4Rw0trLnBg4RjN7wUUtWDr82fS10gDrzCz6isgI51Na5iDywrq5HaJeXjJ6Is9Rzlw79HSSAKto
vHA/lFt6MvEjbtTgNjNIJkHBsBituw5zuYQIPeixPHteGjxG1Wjux8gROEkXMRgVJ71WqczrAA/Q
TiQCQqQuVTo9VjViA6RT6DodvbhvSNWAbhJE8FDtpDbHNcID8lDKaZ4PheJ0syK1KWdoV7SHYZzV
bqDn9mhWpXnlzZKxuY7m6sHydJwVLsbAxO9SlX3TB8vBpi5nBtlhCS0pNegvTbph36p4RgA02A8J
bg3Em9YSWTHKa52RNc2JGM3BKlBdf9OFoXGlj2O559jXrdoEHinsBGRFUeYUjwpWBBAMWX0Bz/Ck
U8ut28x1j3zTVOqVaa2npnJP85SNF4Ab0bGwRvUQQpn53NHiyBd5pvGWlEq7Eth1KIhrUx5pInlb
K6m+9uQE7HVbqzc4e8E4gvC8h//ZfdacJHua4Fs+mUMb22u7dlOUtgVk2pQnzBEtDTdJaJcnh3Yb
V87VUCYwVthrd4kyp5vCK+zjMDaguEkjSoA9Fp640RMiQGZ7Rr4Lriq+LYJkPI6iGtW6DFF/9PqS
H2G7IzPbFmkHMV/TphwIxUaFFS2fS7uSMovWodDWld0Mx5IYGd+cbOPRQkB20wr1KZ7VfVIJ+T7a
JcMCijAoFzaKLNi01Zw8SJVYVzl7/7XWWhUdVECl8KsPntXI04QKl0eja+7nzM18W2nlm9NpNOkG
sppMsH5f6qFk9q2T8bby8qG6CpPQ+hRGRF4RX2vQJsvriVB3LzwRaNA9t7Zg6J6FC6yU2TbxITOF
tcKtRMBPY0bxV5oz3brp62uomqgxnGH0o74zPxv4EvemkIaLRnGYro2xcn0rdeCztK0heOKsSDvr
9Si2qqSORf/klhd6uJTbmBc9FFCjfu4bUh4YHC34IepJIieNqB3vSDSBq8x52SSSLXC/pAP4JkJb
OmJCkLvSjsZeemcJUrbKvrBfO8RwV4R4Kmc1tTrrXKcB+Q4hpiJjcKMGNYilneSSKTXpojlLlDsT
0Rr0egAQLR69ODrgZeOsWU066X9Ax84cr1NuUbtct9r4VrPn3eHVmw4h3uo1fykxxQk4IhtJPaAG
a7wWrRHDaa7cN+I87W+lsN7jqjauEd007Rr16ISsJtnUKkEUkIv0NIyRe/LMNL2OQFUnq2R+iwBD
LGoTghLH8VOpqfuxnrW1qys6EEvoGT2ACBKmblOdz96FZnW5EY6BStSiUbYPRXTO0j7cWl1MfGqh
9Ke4tq1dgkB5y/P+BqnevauNZlhHZFM8hFJnBcGMdyTlI98oCEXZyS5RathN0Z/KQgv3YhgnQFG5
0+4sXS8v3LkAjDSP2Q/W5vd6XPIzjEoHDplZ7mPoBNaRVzj5xlAtytyKnkiW2vktimZ7m+FyPOhQ
iNdao2HdarT4WqhQrpyiKHdthyfZ6sb22VAq8tFkAJSU6Uvb6F+SukohTxrzdY8uFJV7M0S3llvn
q6IpCV3NQRxN5th8080+3dDl7+4TDXpSbw2gV0M33VpuiVBDgchfYKtnR0NCP3hmzauI1U0fJqa+
wXQKr8MCx7IWKiIXu7tSMaFSdjF8UZqVvaBaQL45uOl7TpsDZjA4ZZa9FzrnX1UaNwdTsN1rsPv9
2uZ3gS291YT6AUxUqx20BFcGpYKxNdqYWq8SyZuXICpqs0jsWhuxsNUE2SXBO380miQGVZ3Uh44D
CblniNVNq2yIxuLkJRhP7FLwuVdxXuIiycaq9ltdCB/DXLseQcHQj2yKt9YeoPZatHW6kNbfFDn7
AaIIzPcT3s9qX1g59M7KM7YkA73VWnXpOpejQ/ydDTTvWKIFbTzxWY8tmviREy9AfU4YGSmsqVYi
kFAXqTU7r8HoRg97peWkwhJhR5WBhSwp6SQXCl1t7SGkceICcWMUocjPwm1gZSczFyS9NUCVMqfz
9taUhD6c0ItIi9tJxdG2xUlIXIBA/5lR4QGv99OYNIumrUq/nXHmWYA3yW/p9F3Rm8QkCWkyGhuJ
Q/KEfGgtWGVzEpRrwqa/1oEjNjaq7hVjDdKDMOuwkaUR+4HZXQY6HG/AzuuNFNx+ZSP2ztgXFwc4
PJsxCsfeprzWvKo7jLny9swXoKNhXj/m7XTJYvvFCuSn/9ZSRRu3029qKd0z3F/WUtcl7Kj4tfhT
MfWPn/qniMP9g64SBYtlYuxaaqN/FVP0rlBnoMOBMaebBtOQfxdTlFmGa2DXom5a6p1/izgM/kIP
XQfKEAYOmvn3mCkmBdvPzlsdyp1l0FWypU3+uv1Ra0RM9tABy1YHuwgIYkkSod9pUT3DOI6rbVkn
LsLWCtNsI2TwAEEDmWxeBEehYtQTi0FYZrjGS80pdlCR+rXR6+Skum4qHtwqb3yOiQypS631KB4S
eP0FiIVkQRAQipU9WkbdbqrFyh3SSTkRuIowkiyBnggMU631UFMD1m8x78s6d+67oht/I4T60LHj
E1ioNGA7DHR3OPY+KMESABh92WPBHpUOChPI/S6cICYYbbu8L173Tw3M/yA9oxb+8IlzYoWiBFGV
/pz+EXhqCF0bwzStDoPAeD+G2ZeQXM0FiRH/5koffIPLO5OmoaMOgnSp09/klfykz5mBhcwNjNMD
0VmNb6BHWXkTUmwsavE9Ql9rN0VJcPe3355EtqTRADW4TbXl7f900YSY+SEvIHFxWMCrJBYZRqMZ
0va70cbr9fevZqN0Qu3kopb72A4IPXeIizzB1QEMPT0VinxcdG36QGy49/Dra+kf9E7L54n+mItA
e/Gwin7gvIwI5CPMiPGhjsbMXJsRuYd+Xeel7y4k2Agn4k2nOnp5eNn3aI3I4SUcpfnb7xnJFagK
5EWLR05++FpRXEkKczM51B1hdv7YTA0xH0Hw4DkM039zsb/eQ8gEdRt+KOE/ZEEtn8lPX6eqSRVs
lZMwnpznS+mqxm8FTzBDtjRCMR/bCcwWaqPfXPevT4mtSUcn4NhxPOl8hA+nAD/j0CEQrRjqHqkX
3+ZgdgO7ZIwX5ddf7IdrWSCj0EB6OkI2VkEQPn9+j1YsBr2PvPgQ6zTDYeTTkag0NV2FsOE+/fpa
H9bb79eycW5CwpGaZesfvrwkbx3gPNxD8zQPul8GMj9msdnr/q+vw9zj51Xmx3WYaHgLjonb1fjz
e+ocSmWnHGNMPWQ8+ahdeVPWxOEn6E37PqKT1a5GMvY42qAIJ6wjD6PTr1/Dh3tneQ2wqFnoUCLC
5Pp47/STnlIAtLyGvmHIgKzVWIWzACppTvmRUzHZhY45/WY9//4R/iTtXS5rsAShS0YfidTiw9fZ
hw5ylkAiuUay86TQ7h/pW07nit7+TpkVSSYQIkcED9MYckYeuqk/DE4xvqNsqIGDkUR1JFcn2IfL
HCZg+H8M5kRcfv3p/KfXafPFMGfgdIAa88OjldpmMMxSiD1gF+fLNHWWwjqaeXxFmTM4DBmSSq6m
REhEeuWQnjBnINo2CQ84gJm2rphFB4eR1t/ZE04jt/g9y4TRsSf73a9f61/vWlfj02ROhujU+ctU
i15CW6KVQLvuaWQop0zMU/JRmnbz6+v89UlEsMpXJqnd+fXj3hgLADeBaOJDOcAT8uIFWVKkpX3F
3MO+//W1Pi7n3CeuhhrW+E4dQTv24fOf3MZurDFhOSfIww/doPe1jBkGzBSQmcYC8Bkxx+rdKJ9h
Xoe7sbTb33ywumYvT+Kfb1fXZGQIB49DAS/nw66SKRp7PBnBXnZQNg8yM1hMW280q0NIP/nC6Ez7
Yi8ophj/zZJBGZGHHsdomCiMofiQiREcPQDat23vASNq6oS06xqjOzbKNJ9PWdQQU46H4W7OzOBb
P3bZoztl82nOkOEDK1LOvazB/lB42le90lhwm3ww7gjgcO6dqNL2Lai36wg1AYliVSzwqw7zZQoD
s1tlRdTfAHFsX7OAqLKZhNETg06wKd5YBN+g9tjVschrsp6Lvgr2MxKtZptIws/pEcIVXYkS2dKq
qA3rNUIo9FZ0uflpMM2qXo3B99RiNF7fsr61Bj/HgRzhrUiiU2jyZFs2S4uu+vhLF7F4l01ofwtL
pFg4cjk20rjQsMgPsRd2uM8ca0c3hsMQKSrNuyuxaRR0Jp7delDuHdgU7jee/jDdpqXH5dHzCcSa
DWsnCg/5POPQ8MeUFpZcfraxS17GZGPMq+MB6IxkpPbgleZ0Yp/JHut6Gm6+f7yBA/vNKCLtUpl1
BKFlplt3gDLiUGij0DuliDowRMK/qzby+2pFE+FKtTMrlEu870tRptyRpTZCPckyfd7TJ+Ozm7Bf
QerRtOgBH6D11CkNu7sRasXtoukBkGvx9wxRHJ1QDhETU8uYXoIHQSBQagqxMEBNXDE9t++T0DQ/
uUWvjJUw+GxzwGhfsjA3tnR6rNfErumE8dDQtArifL7YA5Bh+KZqvNX6eryJJyaBvrT0+CVzWpam
WV/koRT/G3O5D/NFce12yYAXJyKJ2Z9HnQOMnkOsJ2OHe4kG/3wKBzLfwQ0seK226edLbgtSUhYF
nt9FC/0s4Q00K3h64GQabrCNBqLmNRoguiPp4+4lL2WEQxrRPu6wRZ8duxQPTpTygYE3nk6hyJJj
6mYbbxZ0b5Q13pDeU28RJOrIr/Hm12REAiMuFfiZKD5oriquBgTgdM+y2HeMRjvpZjEfu1pz9rRQ
g4ewlZvS6tJXcN/paeJqa5Qv8iaf5S6NiTKuiZeic5aYz67LY4eLeqeVU7sSKVExmhjntUHNt9aZ
QW29Eckz4imsX3yqxqMX9zdxWEzHRIcOHtXmduiiEtewWa0i0dHyzAePmBneFmhsBTI5zRBwLayL
JQuuta1nNNfmKczjG7WQoRlDj35PRv2aDYfIojr+5ARQiGmbG1cZgbcaCcV0S4thl3r0Z8kwRE8z
aw5DZ4KNYi+6a6LpCxqk16oTzSYhAc3HLF4secjGQWju59ppSE7pzYphy+iyq3WV8ZKb1nHG8oB4
Pz7TzBl8TJUPfR9clYUMP7dIETYRkcvHKMtZgK3ljJQb09mJTfPUzk190cE7HUWP+3eenetU1pML
NDZH/evhua6NsPlaY6fbT3qJXpQg3wCxbmgmR720Sn0ViFBed3bGCyozaDCrfjLmT/ZsmdtxyLAY
tz04h1bX6xsOSlbkD/Df/FSCjFLoyj4huhvup9Lm/FAyYghXpOdMpxSkxaL6klsrBWGS5LE6jJmD
pbX2ci7KKfqkQu3OtYfhTg7TtDHnDl43+4+9GssKWgP92vy2aeUMRgXb8MES6F1WRooCVk2cRVJ3
ZC8snGZN7zBmKSqGFZo0dgRaynJfJZQ+jP5TP+eYt/Vmzdp1DMcYslVGftNo7aMkSMPXB6xEVj2j
/g4zNOB+C1ssWYLcc6ANtJ2LJLVvNTR6W0d24VObhMOV2Y1+GwfDMQG3AFARb/2LCZotWNnkH8fr
nnXyUHgqOpo153Z63sgc5z7nxkw4O1AiZOJCkLjc5JPC/AcXBnZ1/0x+ovuttcaUfl6hA2XIbfk0
DrM37zQ7Flj2BgKoy47zGNCbfcX04DyK2kGx3xANUJYVYai1xK9LooM36uQfV3qnvlaG6/4/9s5k
OW7l6tavcuPO4UCbAAZ3Un0Vi6RIsRE5QZCUiB5IIIFE8/T/Bx47rkQ5jsIe/yOH7XNYVWgyc++9
1re2csgmyIjOpU9aF4nsMPaBKVpn12Nwh53b3/d+Ed4UUQMKMXIih+I/S1zaFK11ZxDUtLa6Ijxx
U8Ovo4cYlk2YvD+QJ+7bOJvqxu8MugZNRexkjUEwEDwCIqvkaiIzez/gptiJoINbgJCTwDhVf4F3
5TBws7JjlDX2ArdLNw5Kv0ZH1l57Hg92WF0K2gfrqAztL3FTwDBtfOccxjGWQwnPJ/Iaiyz6od4D
2SZzclbBS7+oEllomrVWQ8qgoqtboAB4c/eJrmwQ/YOFP1hFKALN0blicFNfmzPOYebtzDglLLBq
O+VG7a7STBegtSv/ySMt7Y6fFl+MhhfU2DDd4jgZ4fSjoxw/I1ftERUZmHyB2mm1pmPKnk6GZruu
au1dUbEvmWDIUyJt1afCmiCE6U5eDllZfJHC664DNY4Hp1EJzMgwOJQMGY9DQB9ag/q4qBF3X2Y9
Ohk31uXrkv9Ez1eGzaMbe81OiCx/D70SV5H0ZX3ENUEvCaLMg6/kc8mf3rZN7QLZ9mZszYpswBdT
utnAIqAAKUkIA2yuJLk1pOaRUTH3F/jyaVfX2ZY7nm7z0n4bjBDMBoZLhmWhQ0xkHE/Mc/r61bcq
DWolMzZByB5IyOC8n7wp2kBB7b5YplavGWPXUwYOrIRXEbZ53K21i6/cuwf+X/nqTRBoD4TArcbk
PTGmBuO4Kohed7uKMqkz3huRVJcjU+2rdPD6e+wS+tVt0+Ap7kPEtRUtZoSxgCiYdHhTWfjQVauy
OhjCnU62nWFlKoWGnmqRa5uX4E4CXVirrCFfHO++teYUFV9N9uRvuqKhq2E3ERpucnH4Vt14cKvM
vHSHtNiQj8ueAc14KtdF35PGyuKUgFTLmvFgRUN3stpS9hv63TXL2YR9OHAyG2oO8FBkGSPbiEV3
aBmIE9AQq9m4SyGh7UIC0LeSTWHvmLI7yTnt3yS1ERVGUoAYKrkKbZA+R/byKNNRMi8TX9rgi2wi
OoTpRA8MOp0Xw5YGLLd+OEfBFN951ZzBveLPju4Y3hNOq8nn89rnSLopx0mT8AWV3nMwJp4rEuYq
yZtb4RBTtwiHZ5bXqIh4qMoH06tMQBHGra/B4WV+Rf6zH+zQRWG7rTC1uLkJu5/DCeQp0vWsijFO
QI1NT5+gxnBMX/PCTqo1M0uBXaqr2SoX675h73ox/MBXEO6p5d1109rhjuxTf52XghFMCbmLedGq
9JbMRng9HpIKcvl4nM1stC4mr8Rpbb3MaFzxiPXB3p6afFWWU7GHgjl+bZjPre0+iC+JMXw3JNEa
zQz5SWhtn1Iau1tFN+uUtlNxCE3aA/aowSTKtt9LkLSvOfPSFTU+uw4HoZPb1+5WhWmzK4dOMSge
s3NujfscNMYKJvy4pqgWaOfG64FcK0wXozh4LcQEs2SCoRoItUxF2SDq6MtoKXPVEbCxCzr1o2uN
eiuNet5bIq1XZRM+t5NR7tqJKXrHMJMIX/NIogPWQOMlFe6uZhLLOSW8qkp1Ko3maSjn6x5GZleL
e+QIlyy5NIyKtLsQ7fyeNfEDgVe3vl3tJadpLFtwucwU6R7q9JXfAU3zTLWe20VaZ1jefb3AuMza
fh1Di4MV7O9NkNikqLXdJrQZavbyYkz8YUUAxVup4YLYJV3tlWdQEcSINR5nZ34b8XwLHOG7BtLj
sJ7CKX40UcbhMW+D/OS2Uq8ITlnhPXNIYNjqJv0GUxefQJecvebeDHR/1wRNuE1U+tV34uTgo36H
cKr7b4bdBtsRU/tBU8Oc+75FNg28iNd8Mk+ek/rfhIITmZaNAKiTQEpNG0F7dMiWcoJouHFfDxZH
6LT9wDASx4jrxWh3STneQo0Nv5vCx9RgyIKGDumNKjD3trYH56ILSgBcqyYhkKGw2+Xv2U1OdixN
54HGhRV1x7jseKL9gUicFV1NF9wDU0hrB7oCAFfOeYjUu94nI7TvELUro85w/4Q0TRmxUnKCnFu3
RKA/BXEevatI8ALyqYwYiBuhEAHui7PODmrKopjHvt8Q14xVLl5mGlPdR0+E/xnbyGioMWrCn9GY
gMhlj3sImmi6NMAaQZ7GFt9NjTCvMsMjz7Jb2Ixl77MsDSpz1pDZqE5gxOkf2QyHOxMTGnIrn3dW
3ILLzcFixqVBkzsGPHhrKa/bCrT4kn6XNl8BMAnvEqHaUvKGHfGSiScVjlbN0aEwhLmXFuRXzvb8
aSArxjapKdA3HnGOO9/yqa8G0T2LorQ3acvxjwmm/OK16KgsXR3x9WTrmS3/aOeKjVQ50clJPJoC
SHIvIe3QI1gmNR+fp6VrbKdatMdIAIOmTtAoVtzy28c/Aq/LvjUFZX+9cLl9z5sPiPjliypx5a7H
1qZLgNbseiDHYmNQbDLrmSuBOoaLiUrXgzbXNbuPRjFAOMYoI3NvZEFYScpUYjVPyWw3Qr5imYDt
xGdY7UXpqcc67fgBacZfZB2ZbxSNly9eWljfyt7krlc5IPVoGNtj61Xjl5xgiN1H0AcpLXDU5TQx
djb5XS6m4jvpUfY1GlnemmFrs+eoRm3f94XfbnQeDTkgFLoiNC9ZDABDwLxDgF272iNsOTJRCEEy
nY1zWMfyheZfujfzjI5iMF+EbasgMhQhlGH2DkyEVTzXuw7PmHsuQHFfeaC/LuqMhBE1ezSvopk5
9PLcGZB4d5qsRo7/WCcx2M43CbI8yiSQKXy/REbvRkV3jWABd74p+uWaFIi+yAKcb7hX41XtQ3jF
5BeuF87VpV1ZFcI1WnGKeK1LH/Pg9VwADycad94Jlyegc5eg91AvfxAJ2tfYDg0cwjqAgFXTz/eR
z4yVb35j0D2DIXTbo18t/2/dcbUsku2xjTj+dKn5Q4gO2tDbNINhfksghgFA6GAZpornPjE4XkNY
xR/y0XgCXxK9z5ZLUynjaXJm/iiO0/qFViK5WGzn+r7D+ncOrSE66SSqX6IEev4UJbw6RsIrTDIc
s0nSlU+RtOqX3FfdMUTZ46wmpQtTr9oism4pDviFlS1of0Uxiql1EMHBD6vUPlO3tI/kOPAPlKBU
Tn3NZdIK3vmQk2b38cLaKk++l3MpXzBd8dFjr/QJ0Ep07Gi5YokNDPUy4yqKTTpyXcO/F7Zgb1h8
X3tPaSjpwLlkJ98qMlvXaEuDvdJtdDI77k7XRbzsI29g1E8hHYsK1U6rCcmqwaQ7tMAvZQn+GV0c
UvdZzNZFEdvWdeWI6OQVDt+8o/LxNhXL4d5EsatWjEWJ8FueggGfwRmhCy0FLBLA0QIiVVZD2POU
+LP5GpsZuG/YmPg6E/RCPgIhEqipTjH6sD6GLlcqxq90R/pr9O6TPotfr1uewdaEmQRCJzqlWNgj
zgHTfDD8BdMf+JR95K3rH4GgTobsY43fFHyd51EHC/eXA3lLK1XG24RjBTsjJq+zpXR1lQxdf5ea
Q/Bdajd6T+sxPGkP7yYkR3YmNx2a3eT5EHbCiidg0eI9ZWIhhKsWdyZ6WRrcm0Km/8LB/69o/A9C
BxufzN8KHS5flHp5S3pOYZ36RTn+17/5T7GDCP+BZIKpHfuCw2j7J+W47yxYCsfzGCSKxYyDsPtf
bhz7H8tIFZMONh43+OiA/9OdA0kX/kW4BCg6IrSYmP9H6vFPnfaAT2DE5xBdw4f9NhMDpC2MXBoS
u1jxntREjhkBiOY0wDP797OFz3OM5ZNswkDo6wsm8J9TH4vKrVyam3ySTaZSacpnWZFyN0RYkv/z
T+Iz6Ai4KKF/y7yJOyNifke7qyN+ivXFvFYaaJlo5of/+IOWcZqLXIWUVj7r14Gi9gsrrNuZvprK
3/Mif8fY8p7xn//Nx3jM833u+G/3qBMJkgViFg44o8NtGJAEtkgY1vmY/heXjmcVLY0fMtS3PuZz
P422Y2lCmkz4RZom2nmk4UmryQ7ObfUfh46iwBDIdVCYYAz7cE38PET3NT3qLkTslgwcPEQ/3U7x
+ECwxoPUbIl/fwWXedHP8ySePTpNDOmYJS3ZlZ8mzNQtNe9mLQ9ho1ioFTkDGUfdVW2kL8xCaA+4
6E7AAnb/+aMYCDJIkdH4LlP7TyNn0da9XSSVPMgmrb/26HdomBj5g4G0/A/v1+d55MdvxAHCquCb
Jm/1rw/j3Gf9lNalPBh90x5oM5JKaJvR17+/kv/mLQ7ET5+yeFF+ekACCnJt9AWfEo4ee/34oEvs
TFX73126nz7p06UDD58gJuaTIARMGzFmL+gNiY788+v1ob/59fEgr2hBADF2dgne+PR41FHpBWUt
y4PUNqRKUxPLNMlu/DK75bQNIxMgS9hau4Z46IPZjvUGThbe8satTrrx6PpA5h63EGzIjKyr4c1P
UugsGalAiypo1/v5O2MF5xjPBPBInx4xbUvieuywboC08o9MCXZ6k4iJNWY87+CPTUk2ZWjDJrfx
70BFedYl8QdDOXqHCPzhqp44Mg0Zz3PujyJek34BfoWecLDRTeweQaBU2z4vMJQz8/raGZl7gvU4
vDURq7yFrYdQPYtPydz6gt60Jh/Uh2i4ndzCfM1yWKup4vsYdui+lBE/OqdPuQOQLK9je0bmiVmG
6DsnirAiIy0aV43T0bOJSJxqzGjcZg2nIrxFBnGX/Lq5ZOFiJtGt/a6ysWywuCRxSnC0YAtg+mjh
W+J8vdah5ZzcUqfYA+b6gmYkaqISpFgQMr0k78t+jBPtXYyxlT3HoJIexJCn+0Y58qkRpf0Y8dvl
yh8s+SRLt5/5Tnpx2/jQ1teOA4QEDLbLERKGWfGgBia8HGaRtxKA8RxxaS4SxM3Xos/eTYt72mfC
fkSP9z6qIfraibk+DsvSSMRSvUBoiMluC3IpebfDAo5tKsbbjMnjkRW9I8uxTPckizorjgFAwwu7
rzg8oi1YuQBsr2I6xVTPcfUuqBWuGNFwEfvCqza2MZA//fHYFypmSGSisGdAhHsk5SJEfUKN69Lw
Kcm3uQtmm58UA89+DmdOviXmgw1hYUSdFh3yjzV0UFHsEfua8tLqtQw3sMT1tySSRri1LY3Gn4lq
Oq+EWbVng1rpMTAq726s8vLd9pmt8RunbdWxctK3APFOdf5Q28K6g6HO8+O1TCjWrevBziF7Ude7
fiRjjlA4ZwXTjVvQRWPOcAchQQ0dIjfo2BGTqgh23YBXmA06wWxx8xQG+86RGvRJMcjkoasMkhPR
QGcv4QBYikOwvgRmBXgxDWnNK7Jfb/GU6W9zO+d7T/YdpFGjtdNdJh1vXujxebNqsV6iUx9z63UO
pfpuz7xb2BYIi8MNpe416rQnLPnexUeYVznWfNm2N5wTYql02tDyNaBucCe8JM6fm9gmXyCKq207
KntNw+zdDpLwHFlMsPkidHTictoYkyJ8MilFchXn4bjt4yLcZ3CQVhgeiLZ1WNWSoKV0YdL/NdMt
8yoMTMmPSobeocIWBh4ZNtXZtfpvUk1675Q15UxIhs12ZjJwGujdqmjxmBqduVZWsUcz/6PrW9Jf
FEyaxj50tUYNMKUwYATIwYj+IVuhf5P0vJRWxdcyrUJf6q4Nl5ximDpBRwKw9PPHgJL6wgzHHcOU
AgffKLt1OeQqX+UpPmKnK3ioWRXJ9yvktKmgm107HCp3jcFbnxPuutGIHPCekWNHsJJ3oE8K22vZ
d6XL77bL7CVVBiBOUKgvxaiCG0d31lUdD9YdJj3nNPY8UTkL6nMfkhdqFlO90cjht56aeY2gnYXX
XdUPb8C2aYDF4JbXiZsHN5bAfuOaxQtzJLLDWtYPQYzLzQwqeIWlYdqQDIrlhVS+4Caq8/ZsDeCW
GIbwGDJMaBgolf0mQ3G0Lu2+3oiBj4YH1B5SFXRr27KGt8SrjrLCpRWHsGhpCNjbNi2uHdnVu2Rw
oLaTQXytmuVcDVvjorAkD9PQJBjySstd58BcVmkUouQQvYU8klUXdcJTlxN5YA6sVnp5Rjxztq5I
lU2vQHzEO1JEadAClKQ3aHTeFZaSnWJes9Y1wXGeQwB509WQo2ZR36cjV2j2o4qxCElOroHhpOcO
Z6vCbNtDzG5wp2W8JNFUFcquvrxRPWuPEbN6DCEvfa7RdOqw7ncOo9hVTPzFlRPZ5mto9d0FUBXO
o3V/HUCTPyhBbGGW1OG+xHh62bXptYOe75uRZep6GpPuMsrmx9R0hscgn4JNMAHUdmfLI6CHdB94
puW1NFpsfvmT37QlMTLEA8QLsLtL73mfH1qNEYYOJ13BuGRAZDry2p0UoxAotHsW91fDg2Zk+2x6
SFPco5EmaE8qVt62YsUxy8Ci3iaJjd7CMAHaWs4WwlVyN3MPdtRezGTESO5S4GJpxDPXH0rbc9t9
lYQr20rkgBADlBF4u4LFLKPIA1zCbKlcBNr5otGEVhRIIIAVjA7wzbrBEVpIJy1XeB07k27tgFkG
KOm9KmGWD42DAtDvTLmug745OYUijNoqJ5v832asfXExDfaS/UpWU8v6R2hAhHdoQDBAIw63ipvq
MsE5FDoa4m4JoPjkano7xN32ju8AkA9bgPs4avx3NQEeIjo6L39IT8Q0cmMymwJfWowrwlZxuvFM
JB8j6/oU+DkjwK7tui/g8fDrZkDJ8KEFcbbtZNK6uEN6C2aOstRzkJvQvGmmfB0yB3eetAROPQ7X
LnYuf9KnqsjyDX3PVzfomdEv4Q6TU65cz0h2tuD9YuHQN56XGYuexGAc75cje7U97XlPbYLQM2Qw
fRF0B7shYWlsopc88fKtDwBwa5s0V0k+o0dKH+2qZ4+2VsQSmZvKtXtjjexgvuJ1jd9iVPr9Kifu
blX4tGWzwjCO6eiZwc4nPgttqGD5hrrTMy314egOblh4EM2SFkTWUBLjMHl/khUuDodfaxUcDNT+
CG89B7f5krvz8wmb7KXY7ZVZHJghsN7Yg77s4p7+dtByTug4Wl5h/WGiZs+cK/KwrS944ck8dso4
XVnhnwq1z4pVoJj053zH8ulQUOx+KnJ9wl15B/g+bWk99CYCrJw1dfDxgBT9bTSxzf19ibGctn85
jYemZVIaopFdZKCfBY+KfnMZD7JgesMhrIoI+bYqsjUrnOxLjlX9F2jmF2DJL4CS32qa5QN9L1z4
YY7jfBY9Vi0HHJekUBYUWrg4nFnnU+x2cpO15Qu62HCbI6a6FpDVv3xsOygxLbFP7IFYDgttWZQX
3ks9N3o/Ypr6Q2Hn/Lvvhz4aG4bvm3SSPpUnciTrK0DFckjK0gXzrcr32ml4p4aOLHew2i6H7YI2
Nn7YzOqutOCsCf1KXkuLg3bKj+AoU50CuyEjzKbyBKVdMbCeeu8CI1Z4rtqsPedChWgRmlRCq4w8
SPSsys5I4bp1McJ/dVzTfYFZMusVkeFEWxiWfwOLnw04msbiARIA6SHLrljhRgzWw4wX7g/X4jeB
Kk8jynuBLl0IcqR+Mzf0Q8SoQOWHTpD14xmqXjFvRc3ouN8aRlYHg2Mj3vnE3nn05MFqdqe/fzx/
q7PB2YjAxuC/2EcwAfz6fnYTOmSZWukBz2q694y4vkCS9adl4LeOBZ9Co8IWju/avv/5nuOt1ZGA
lXsQLodnEbNwVTCj140dUmeIvKbZD9z8iu63/vb3P9BeOgW/voAcUZyl/4MDd6FX/PoLkai7ui2G
5ICFNY5gpNTh2Yii8LnsORozP/am69DwwoWk9ZADK2OG7g0MC7VHEF1dgRNjvYVN0zDXdrZxJzlO
ujnpuCoOzwTKq+8NfNPuuKQix391XP63X/3HfjVNu59u9Oale/k/fwGnrl7KH//v/16+oFd4qb7/
2qr++Jf+2ar2vcV8xxJDNWPioqOz/C/IiR/CXTZpY3lYUHDlsUT9s1PthP9AgQl7MSS8w3FIXP3/
nBP/o4lt+TSMXB8593+U+fZ5W2AbEninWKNNakX65b8+lZXZsxonOdmQsUUOaaTd6hyP8XRfWiNg
kdjz/tC7+/yi84E+4nPU6XxzdFmfX/QiTEhlEdNhHLP2xiTVi7yn4U9g899MKR+7K3ZDmiWuZX+8
jD811DpPoRP2yGubQOrvOd81N3kNuoEATrk1jaGAJ9gOG7fJjFtF2s/9T8/Al7/e6p83P0xvn952
1jF8KIsnhc399+4yGnnGe5PfHUBOFyOCTziihZ+YBwKOgzPAv/Y0wiBQ+wlfjrWSqAIX1V1qpGvF
3O0rwkXK8Bp50SUGcDaP2HILBuBDviPxh3+2qCeOSk5hsHGMMmOw60WKoV4XTNN70035rUN1jvCZ
sGnICAvMg/CfUgCvoqad9ovcnZNjbMHhrRuHehWvy3wwm9G6Y9Igr1okW3dodMYvndNHwOyUfAlK
kKxrVevpPQF7s6OTqB+Kvpr2KhsrSnSO+22UgiMbars6J/T4npN0kk8c3vkXh5FdUTGf3OLFim5D
jQp7o5U06yOXir0zxsRorSM8Tc5+Caxm+ugre+vPqX031dQ0UK2Ta6+Zq3PthjBtmV5yFPbT9qYu
NFRsDQyDPAofARD9/cvZGdMDM/ZhgxGxPeW93dygLyDbtvfHvSBQ6giWl6/jdPohQzj00GSz+Mrd
sbczXsItyUoFvcOxeZtqrJOABHiGhmqC9BPVT71JAuKKECzzIIaQd2hgEOt0VXgWxKwfmiaZ3kFn
TPdmy78yma16FHUQnKOR2qmJO+uuR1T5mHVDdR5r9oOyDLgiQL3cDKHxQOdRkLJBykwht0pSow+V
trdIQPNbKaiYemT9a4A+7Zsb8V/jnJ0HYAOZWAfEkkAn3b55GxWvM2OBaS/SvjjWATd38uWwGfsM
RYtyqrbammBSj1JRnHYzgmdyakfiwaP8lm4BECIQpFe4BD003LH+kZsE2VXEpu7KwjRZNKz6mVpY
P0RhPV+GjeZPQbfcyzIKVtbILw4HQ15FIMnAbzfetRGbGoUsv0W4WYgHJSnXOs95FHVS6R+4uaY9
VDP3Ona5E5EOg5Vb0QUhvg9mMtYZrmuOXAJVrbceObxQzYxIHrAkRdGtMKPmjZPGfFkNyXRvD5zo
UQLnm6Jt8h3a0e47DTIqVQbAG6zBaGsMri1hT+YBxBuXenlECwJHfkwtv36GIEoC4sydcEU97V2L
578lg/upiAk9JoD+aTAU4WOcCa/j4B2hGHKB1KA3tVJRacM6855N5HLfiJzuH2KbZ3NlGzRXP6oq
F9wCVnqN1tWXeMc8HsplhD8m3CjhGx252i6nTgTt12E3eNc9x8O7KlXyqfcE2TXIILezj0SIkLf6
2Sm96SJzDO/rGCyCdSNDJxBUQ/0SM0qv1qlDWG/Yhvnm48cFHLWPAJyM23GSFTjVNJsvh2BSj0h1
89uJuCU0/DHXxwI6chqLrFyLwUzpfdlgmgABcVwjF+pNFgJIC4yFnvI+CRowCjnnEnPyna2w4cl2
wo4Dm95ECGLzSdPR797StnefUqsq8/gA0KByD2k3G9XWMaGdXhIVEsGwiZ3evSV0Z1oBIJnurQD9
TS16iN+WNwLLamYisvEHI/FjNIZaniy1ne6rq75G197xhJ1cI//Smcq4qc3i1vD6K7eU5S5IfO9m
RuSz8ny0yq0Xo3mOrhD4YZPweYnoyCfH0s7vFdbgbb+I9nt3ek0DHDT0AL7niU2KRxW/YalLCF6h
4q+sXp6JtBq20KhHpMBx991KVbONU0XoVRPtioFMqXHOww1Ac39d+B6gVcmp050xjKAB1tOafMmT
yIITDb9mkxYNMTGSWLMjljYi8IwR/aYJ2L9Mc42AsSjeYznjtXC8RWuu3GkNFe92qvx0a5dGeJEl
sbxUIht2IuGFbbLSukgJOqIZF8QYRLmRdKrBdiA5P5Q+KhzZOQHcH0hQyGV5LSsr2yemL9dwtsyL
wUvDA5SNr04ZhUh/fHWm2+kUW5trD5V9GMTaa0JjXpUz93AV0yo/2DLFOWgNGIwi9IO0ldY0zftj
PIQWiuAQ1J8XEb04RYp88KGHsBWz57GBBzudsM1Beu22WSWaW4o6a2V1udrFKN1G9LRk3ITB+Bxg
QV0NTj5eVGNMxVLk+VNoRLW/FqOY9phb0EX6AhkSVRBJ39p1OCE6zQ2nM2S2PWKDo2R9hUnMIgK0
PZcgoyXv1aVbKHmBD2je1hDrjqCA1IYQTd4qtUUI1ED45QlE/eydpGjH+3lwsnWbobkPVHUYio2j
jRrhsphfJLkBR3sq5ztJBFu8tlR4GGcvPJZ9NH1Jc2fe6IheVV5KErftouRxz/WqGOJ8q1zHvfGV
y6iKDjuZpO1AUKAM6AvrcmssFquByJ0NZIDsmy9oXgTmNOzcaCL4K9TGrkng7vRxeVNYBns58phj
mjojYxOtNzFw6YciiK19kfLEEz+VLESyaEsIn3tZE+yJ2H8wbjHHBXCP5um0QA0KukzkQGwbAcXX
jZurJJr9czh2tli7w4BEmWAqD7tIkl+SH28dZVLiIEgT0V4Uc+Q89YRvAGDziFxDsFuoi2TChbLO
SBf/IcslBML1K0EiV2ZqEi8bwsVLo933gEKfYKylGLzomp/dLlZvpZMJLFM0PAictyor9p7gT5mH
IckB75vUSXTG6E3s/MTTr3VmgT4qhuVcIJubcYQYLxpNeG3AgOnCGAsykqLJz3wevzI5to5uz8y7
a3fNeEIVK+g06QG0NrikLK2968kGGTUznH61JeMvPDFTvtwbhErLESnLHPahxVWXwR4i4wPzV1DJ
7juc/UGu42EZe5m5YsORrMLvVVEgj5uM6Fbi/OEdwC549iNTRpvYW+RRy0y0gXxxPZNBeGvUUvJz
6ezuetAxwSYGZ7suOeQlxASO8nUkVEhuE4+bZM3szlPPqfCvw1eT2gwGrEl9l5mfMUCA+M85uUSb
vhqXDGiOoeLrSOyrYibZNNXW1m6+oSlQHPEVV+einUn1NBUd93pgMW4zuimlROa/STzF5h6WtXFb
gaV6SG0g9XHJSYOgEXkVzx/fImy+OYbgWBo1zbIoY8R77zLOJGnoczwJm8b6wjJYfXekqPXGwH/N
ro0nVcQsRKuy5etgK5v2iWX0D0RGcu+sxggqNOHttI9LMV2Y4GK3Sa+HTRyzl9cctp6QSNNknZbj
b0jGm9+NxdFW/AQndq27oByn92CS6Z60jhobZxrS1x1olk5eBOinhmR9zO2wufn7IsL6dzXEYmin
XqIzzgr0a23W0pSo49jo4F3ZzSkKWQw5DpPy3kB9vcFSxfHeofmkuTHPamLmUw2EaG/6zvtTQfM5
xYoS5q9vgsEQASYZQb9+l752EEFkTXdwU07+hHb03rUvOps+BILKyeVAmIRc2S5GVenHdbkl6NU5
oBV+JkacB7NympNy9HRRDbL51veue61Te7wfOHHv/nDhKI5/abUsXzZACwWVgHB0ojF+/bKBH+S+
Nhx1ALWI7U6hGp4kL5ppZck1gZSQ91OfB4yAE+su75hhmexTi/Orfskk52afic8fEAW/9X9CyjbE
TAhJAgr33wrfmDwAO0xjdSDRAPdLiDB5o5hInIkv0/u27ZMNS/O8nRx8u1gYOUFB/Ez3frK8pq7O
bwk5W+YXAkdu5NXfZVr4N4GAmBV2zYyMqUX20HTA7v7+cnr/5kGE7hLQvKBlvehgPtXsHrNaWcDl
O4wNe9rkpxLAWwnSuZ7QRci0GjZh4vjvUAP0AUpAvDMs+yXI5ONQxc429TguGR6JNr0sgZe2tvuk
pawu09nJL0yzdJ5tN0/GSxnLSl+0SRIgGbfyDePhmfhRXuiSpeQQh6l3bTIk2rZjyXm1YArOARK5
/ehMF27Cab5t+mGD3q5/sN3euNUxhnMDhSfm8Nj0Vnblgqd3AKlxaBGce4cafAxioiOKYM7sFMvU
JaDjjRVUZJ6QFk8yJsPlrD5Wc3NTFc2ypoQMQ9ycA32InpxJaCq+umjXtxBbwWUDkz1nPTYAjV18
HetEPywwCuiAnl08tw5e91NXzL4+N9EQc5FSjIzGqLpx68U5Kea9dKKCuBwn6yETeTYgRnfDD6rs
hzpyLcwtjsyPvgAsdsw50myiefkfIg700cZUYKLWUSqsQK88TtwXoemq735BvjS7MWf61kyyJeow
4RfHZJJuRxZhFBQjR3n0IsTaAA1DgoLJmeqbJTZw1aOZUWoiAffWysOsvC5DJOFjS+EWJK58nbIe
uUbapXskELxP+cATieK+2ySV6B+6tHj2W+rHRav4FAyFkxIKu/hDl2sX5hgXCeZaoE5eYty2pCwd
LTaOm9xBrwKzjEUv8Lri2OEOfBlxS7+4k8XZ0C5s2GcoCnZOF7RfqESD89SYsBEHin5RVOqxws39
OI6WczRHVqNuqe2YNqIOwBc6rN25GJECEC++s0hAP7Yqo2qp/KU9nPo3pdP2D6aFBR8Nef3iqRZ9
vkuFJS2qZ9iDMztARz7qo53RUCJ9TF5hL/F5g11Wky6qYPEFHZVR5LqdDyhw5h1RWPIYn1n8n505
N2+EW3JVSoLhFdXhiqDo+VAl7ImNbOjKMYwk8CNcttCkZLn0Jp8GUGk334bJDxiu02ZREo1EbMn2
lE5+dRYgxfctG+i+IoeH0WelHwKXOrob6K8HSwcoZCx5Veb0h/yUMjkYqvkdl0w8b9Nglk+5KL/o
Ee4pfhnKbdOLIWq5mOGHRKwtlz9aGcvBefnWo7t4j4OUCf66LpZ74AyQkpZXdVzWd5OQKLKK2aa8
Zux3Y1tmYpWZA5oJeMX3YHCW99ykgE9Gt7lBKMOdqTOOIh97MSnjC0AztqeL3EEKvhx66es4eHdo
rPLrCn+6mGMk7qOmu/bxGCL2X3Q7VWMexp6IYzem4+Goqbn56PhUDo9POSC9EBadk6akCiaFNqUv
z4GqCERw7iPhrT/aA0ZscBnchsqWhiOXfmnkzWkw7XJYM6gKkvc2+B/2zqw5TmTbwr+IjgQSEl6p
uVSaJVv2C2F5YJ6nhF9/P9Q+97btPu049/m8OMIRsnBRkLlz77W+hTd74XUrN3qOKEYmTS/Mi+he
iVpnD00tNcNYBgucUyjJBqRtd80w0pwre77iiOkzGAM+kUDvSBNn4RWsfKQaVggXg9aOwCQ/YFwj
oY52Bo27aVcWvDGRLpxbK3NX1I4QUD7dscNL3dIRXGTWvCw2cqzA6afmc5TSccGfPT+XsMGC0Grz
k7E2V7Cfs6xxosfJs3ZqVktX4FFq4K9dEn5TYdHsaRaWONvk8m/9m7dNUmf0bssqRgsgjK9CLGu5
rAy+vrygWGo6ke3/fDSxgO5rSWuorMzwAV1Meakra8VHSu+CLa95qUx6aNi16KkNa608FXZ8O0pO
WrghehZ3w+q+VLlffWQQgu5ENP5lUqyz1USUG9RakDqitPlCsgzFR8fxaUdIM60KPCEM4oq7pl2X
4S6sOjgvOR1JP1HUvFnLP2cTna8SAHZP8dr1pi5ZdwEOaB9Nj0dCLkP3ZWgwjsRmGN0qgCnAKtbn
h8zVI0cdmpEuHydcu19v5a3n0yGNsjJ7KKaRLhI2+q0LsffpbW8we1rAuCXjW8WST9+JJip6D3mr
IsNhq5h879L4lCHNnFlP8FrGjU9i6cYFjwNGny8+dlPzqXbtDlwqXySidjzTuSgvqAbKi0OK+qlY
vwOCaOoPXTchIET4R3E+QQ0mjXZ8N0+UyXVGf05UufUEeobFlnXspeq8+gNiaGxFa0rvW0tw7Gla
ehYWjYjkAtw1lJ8dq0m94ZiTEfWueUIqTXHSc9gpeLERm9l0Qaucl2IWY/WR9EIa1BM9YzsJOSr0
FM62i4zLorlM4vr68Lwts1pxN+gcMRYnfuA9p/oZr7tVrOcJQNVn3UK+bWnaPNeKqt0gIGfGkD5y
MwXLWzzyHmVYqN8Ld6w549k8a4YIH/REv8zKdZGcSuk0Z+bhNBHXpdJmLrlrMzu7XTwr46tc48Ij
cBN247M/xLRMeCdbutNljz/pjbJrN2r4qlbWRs9/HSJExoub+BxCcDvVr+ihKTka8J8ncsg5xNRJ
fIto9OM4Otw1gEz2CWUbr8qYcQ96tI7bcpyaF6oSAmwGjTkJIVHlU7cMTnKDD4pFFoHT+K6qQirI
GeXqOPCFz162XGcWLfW3v769mHORssUYMAo+OxN7KmxEeSoX5LfaMuY9GcsJdsyKFzqhqoyUwyIz
OjzZsganDSI6Wa5rd+FENql5r5HiD3KpXJyhHGDfGsWr9V1anEwJPSoAbzQcyYBqDAcaCXziCcBQ
Oh0HT37A50oG0TqJIQ8LwKuzEr3RNXnnPuyrP4fZ/x1V/mZUadts5H+p7H8ZVT59LcuvXff1619n
ld//1b8YouYfTBVx+CGbVvyy72EMvviD5GLO8BZuE9vjz/8bVLp/cNRihkjnUZqoCDhr/SvwRv7B
/OtN/g3Sz0YM/p9YagBK/nSq8wCYrS4KYcKh8tklfzzVqblFoDOhCiQlrjPrA1mLbGgYbqeJEqxg
chSsZ9jpgpMO8W4HA9zstH1QUaiOTUHniuYukHnLUeZNRwDck0ZTtXMTUdILINZlgyhwV0Sufim0
bmhE4kD45EelebJqwRjIdyZaLZHcEXT/ZaBpcxrtLjo4SRltXZSwG+Yl8WZZoPrPdJwC5ePJRxcG
4MRBfLfJS4881XSuXmTdeJ/KtitOg8Z4Sw28HzqltoKlczOmCaVWG3rHck7yJ6jXELvHjuZWYFtu
hRdyaA7WaCxnfIl+vI3A57+GFHNxoIuawMiijaLrqp375yztGTami3iA+GVtSw6M42D61yIFB+0V
UfQRYhebjb1SJNUwghtGhRymoj20yBqPU4KOsrXn+6quoOmXVrnH2DQHyzBiGlQ+W0G2dSqd3Rle
SFoPeeBI0iZvlxOlFgxZ4zy2hNvupkaKjVikvPiQSE5DtxicVxfzzLHPYIBS1pD7m2UTG+my7VJR
XQOjUPGu8Qwau9M0PJlJLVFTO+oS4Ss4yNos9mhuONMv3XKPw6C7VokRBoz4nlxd6M9zNri7boJz
H6qsu18yVJnT7AJKGSq9BXg/P8gkVa9DqEldmz8SzNMdzNpOj8MYWQfb8sN3IxXtPk1Dl+6cm83X
w2yl15EDRjr3kBJv6BYWO6/IicKJPQ+BZtvuwSAkNI/ZTTwsaoRW9nnQzq3/Ctdp+hahAtwvAjvB
pgkLlLYMkO/lPHX5ZU7rZ8DO6bOHC/aTgVjHDsrFEddAy0aU9GunCX9XTDOMsrqm7czENkQGu2Te
OYSKe2ubY3WdT+ZzDNAf2pMtmyMJP9m9rhoy4qiMbi1IzleyQUof1KT0kLZmGoU6DsaQzPu2y1YV
0iAzCOSDns4ux+8U66wfLOy4e855HnMC4ijJdLWK40ygJfWh73BCluxDGzT4xdaewDJtQSAQu2AW
iFZQ1N0ZhnP0HXgR8VA2161rfaryRoWXxs51zFkqf+8mrXooQH2Hhmcapy4ZZGgd8t5OMwUpbSr9
z4xHmmQXIY67XaAW3HWD5RWf/dIOUXGXEJi8fnh2am3ftd4Qt8Muz9STDLt0h0DT3BFK6p+xlFhr
SGSHfrqO3fqh1gZ4LyAiY3SspcraZyufJJGGjmBQGG9RZlbqTPCI1xnbAniRuGWh5L4XIxXgSuFx
V+56KD4sccPwWdRGdNPMqlDvBQiNpoXdNpv3pfaH8EsKHnfDzupjBvCD2IS8tBND9ciT65BN4pOC
wmhOmtlGjzllsCDW81UhpTeOHOAYk4NLQUuHkBU1+zhAeQlC0jPl9RQV/rtirp1PmUmJGVRiNqOT
Gfcc8ctm0ndULfLLLO0+O1ihHuujmhuYbaORwLJisBf6u9LJuCQ9hdYNCi2wH2A2LzZIjym7SEuk
rookV+yzEM+B5Xf0lBFHpgipSUyubpU3W5ULSQk8TX+Vof0XWMNHoOFKq2gHJ9291aOr946c+KvI
GdUwe+vpJsLCecJJbl21LoG7lAZts2LY/OmQStu9Jv8Rr3zi896TQ711slwiEh9sZl2mFR9KNXqH
Km6zO6gtlyUi4zxoMafBfXbiq7CuifaaekkxhW6HlwredLOF72wS9uFaZ0+1CM6IquRdTVm/IjfZ
tVFlG3uhEvFIJGXKAJOxBUHejhG4RlnewBSsHrxRuUw1m/GDk4YW6Z22f0X4jh3A9oTcrmWE+RqS
WLAsQ05J3C3z52ZuXtmj2htAoe5+UiF+oDGhPWCJRjziZAr3msiZZ0dG3T3NqpDNoeRoGqnutuo9
Y58b0DbGUoSfiV50MLCb244xD5k0aXjE3SNeMmWCtyh878NIMgVKPgiTTBsafaUWtZDvRZpF1Giq
uGlOP8aoZc8OtduNjPS+N0oZaHoS6aa3YxOo1ghghITT5c7103TH+fXQ5WX9vKiKqFl3HA4mPZCD
MxbI11NzmjZLZ3ACy9FpKOnD7G215XGuYonnXIvOtyWuZ+L6j9qXVLYmNofICuM7kGdUwkuc7RjY
RpAafG8PJYzhkjnJmKVxkS+0RqFNjY5ffxpJ5b021WJ+HQeLwHLINruMgO+jS3fsPQMeunEgFbY1
B8p9mtQ0DUkDvsnE1Lwjrrq5Htq+vSMWyr944JU2jGwAzMS0wBo7Hm9AgS503nL3mC/jx8aTyWUG
5v8eRJi4CUPT55d0LpXA2v4Y8KFvqsIWNx0pbT3ZZI5356RITJBctZ+8tWXfudmW+Nz+vu2ctRNQ
eC6M086/zxCqXJlpVr1OXQQIEnjRLpsrcYpF9D5EV79hPA6JsVQKS8JMO9XKAHIK03iBeil2U1w1
17r05ysbnilNjTZqtmAL6i25z+hItNk/G9bQw8booo5uJZ46n1CFoBu1C5iIDspm8T3CL8rIQgpZ
eGsQq8hcM+K3YZ4HosdLDUUAhnDifLJWPYeWcboEilRddrcWbh9vlTvH6tFuUy9iywP/F8VPncvY
5M+xyH/r+9/U9xZSNuruf59gedt+JePor8X993/yvbhH4vwHueKsflD+YT2sGtvvBb5pyT8cKMZ0
nugBCn7qfwt86f5hudY6RXnTGr6JFP/PM4+aFm0jPTeJEVf4/0mBT636Y4G/GvwdgtssZ9XJEpP5
k9c264YlwyeU3KWc3VN/Y5uCwOE2ytxbH5IWhZLboJir6HG0e3Ysk5PxNCbuJgvHagLCYrusWCqj
zOj6JOvtB9JKCAl673h4TwWdmhZjyFhmUPxKMd1BIRNfKKkmXPkoYxJv05qxR8rLYFbUOFUMH3dk
QigBm9EAOK8n6m823Y8q8LvGezWsLNlo14vOKpNNUFUR2cW9yh9QtIcHNs9la/u5uM2ypBo3MDaG
IWislvJxyeuWM7YtjWcljFdPu2ylDqVuieX5BtYFhPBlSS+a3tJJEcTxcQLrtJOi9lcOmBs/tMy4
0G5Ver4bhyX0OXlPRbuzaz5x4A2IQVAx5fXWF3F81YT0Z8YEGXE0ua8JDKfnbnTj9IYmkbFFtq5u
k1ZgxZgTHSeb3F11hODFqJ197Y8BLcNkflRO35dbvon5JZyxvxiChJJgxqr3qCS5TEFXkYS9wVU3
nhI3jK+WSesXkm+J8XGlFqeICnSHzAMREpO4Aj8QJvwIlK1dv59bEqiiqElJHcLFfja6UmBmdDww
yUW44GLLJjUEdr5mUKfoAXFp6bhbtozRu5ZOv5o/9OTruXd8EksAjBsLvcU3qreJGGy6nmtVY6Tx
N9XmEn9Tkh27RA571EXuFigppqAqVvfNIjUinjiLttbck+XkFu15riCbiqIx79Fn03YdIaaFElYV
a5/jfplqBCwkTQ83JAkuYFJnUuqzIMJvibu5NOqLjEQ6X4tyQEFztjI5eTXmlxK53Y4bATmzQPdW
39GuJVZwKRMTUJ+dzESlx5w82mAoOkluZ0aDOohLsgrBxpsIQbaYBxP7noWd7woXtHos6pIxmDK0
XwP9GVUTOFWHmiUmOArKSkxBZ2ut4PhbHNHIrAlb1Ip1BJSmUXSl0lxRb+feXBiX0WFciRpTExNl
eMmFsPv4yg3L6RNKCJcOTjcNRKAxYDmhGI6ZDCH6JJ8cIVh8nFMcvIDeJAjAHh4jktBlnWWLtlD7
MkqSu0TPBHHFoJPSoGrDgjebUyyOxnpO+m2bVsO0qUO4BZcFTl+D7Enamyrm29zWuLbJpimNdglS
cs2iO7cUK524GAp1rZeCiMLOEYc2UwMKPzuC3kaxPW5SxXAqN1RyY1QoRvcjpSxJaDQ42m2Re9OL
lXTkM/m6ic4oGR4W3afgwQfjs7H4Je+U4WL+85x0dm76yu6Wfd+w4++jgVO9ZoZIjPo8xABuPKs6
yLBuQSYJianCNxBMHlmJ5kdJS7E6WY7bo4HJc8vFDonr5fRmbberuv02GfLZGZhB2AlezMcxs6jY
pyw2q1OLK2Tr1YZ5ZXeggZcwte7pLK92NOmnjN0jVjOH01jAfDI9LNr2zin9/GzrAVHWF21O1ZWy
u3LZcqXs4KFc2eVmtBaifFfVHiVZurWg1N6D1hbj3h5AI1L8WVeVW2LP91J8zUZSr4qSGLFwvchk
K+zc4nvOZJS+to1KP6WiN57tNh8/dEKP7Y4+ruRdkxrZRkqpVpiu0Z9oVIAFtimldi5ZY+0VPyDB
n4HQYmRhudSEgest2O9kR+4rXUamsrWgh5LLEf2qC3EQWySWFbeN1sq+Ho9G09rVLuyLKSLBl9Ez
uqWyHnDllWH+ZALofTdOy3vJI9wHSUfWBvQfYR1db1L3TAvMbdSH87a34uakfGBVO7qmyEENmqP4
7yb9UIadvGH8NowUW6i3ryesq9dLv7jpwWsq+6Xp9UukNefmniO0uTUTghk34yj6LhjGVA/XqA/N
m2U2u4cirTiGw23T0T2S+7C1glTm8zIfC1v1ykmxlYZReG46Vo0b6WXfjWH/rad+U08RGCGpMP59
PXX9KSl/6JV+/xffyynX/QMxhCMppBzXA4WF0+F7OaXMP3BUrMcbAEUgNOmk/otApP5A3w9ORBEB
5v3g65AkMdF7pdwWJsvimsT0Ux74P+WDc4kfJDAEG0Dq4ffQgqVr6v7k65hpPdr9vIYZhbvZ3znz
tZfe/uVu3P2NyeGXSyAkcBz8TCtug1CnH/uxpFmsnEpGdmNoB9mCrXkuA8/llv7vPf9/XGX9oH9x
crRUIBoLP0Pq8mNnfKz01/53lpRf79WPH+QnuZBKKglogUsMy70S93OybZbXf/4UNOd+qm4hoZgk
B5E3YfFkmFTcP36QLjfqNBqByNBraD9XyhXTDvEl7obVOuBgdnywRQHILcdtQaIsY/LO1js31eZh
1uN0SOq2fWfFi21uIApysO7VveUUo0NWpZ4ufktgHdu52Nq9HvcmW9sjPAtAkKoY0qd5pXojY0yv
GBBD+q/gFnt4MT3kq3lljkeMQBvHb2LkH77pbjNDxdd5Xc9B1gwVaXY4Yt12gEwocnUlvMUlqkIx
YoqdOb4WjeGCksvnzSIYmsWGM171UTHoIFsVlcuQDZfBL5bnpOevcR1bbMXNZ9cqFLEnhb3zjGak
kbGQAW51F5lZ/bMuZ3k/hWTdGeCzdxVHS4iLJInmgyn3XeY1lIC1ee0BG96lttS0GvX4wKrJL4FN
d1ELaISKnXgGvd6Z12FINjkcEOB61RDfh+k4ffb7Yr4fmZiCnQ0xpqsx5XrJ8nUq3fAlrgmV2haI
ap/xJzr2dqLf0LbraN+hIf/NQJBOGzjN+3e+lXjxXru9vGeh5xetNxjV+HU1I+AJiIioN9TV7rao
w/6SuyCXg0RGxS5Es10TIkvTz3dQiAx5aoAdkF/7ziDKdO6HL+min+ViffVL3/mgLfyAiJuSlz7T
6Ukgd4GfFzdEAk7y6wrnpLM4IQhLG6GDFLOERle99O8Gwe8rGBFsUq2yc+E73bvEmFGg60ZdFbRM
r+tiCne205qIyKf4fsqt9K1q3/pt3e4nNGKHyrLA5EDniTZ+OIc7T88CXgqa4bMzS+uIhZcLWIu7
aZq0P0yFl9F8SsfHrFqGx74O+eHW73gwvMS5z6O5CkQeZmcEkDKQRjXsRs6ct57P7URmiqCpaGtr
a7F23vQTPahTarnFnjkHZA5stGa4GVrAjHIII3JCaNil5ZDR3p4Qi1n5KluPInEwZRu+hgovHk+J
Ed5Ykw/uHmERhwpp0jxOYY7fzhh/tnM0uxuNX/w8121zaYyVs4rS4uT6tXsXGrZxQNFg3ymziC6T
dN6FRQOqUcXQH7QziiP5IK51alraIMOgc73Jkjh87QlDCfx6qvrAJg78UGGS+CbTzPsGabvfdMAj
rlpl+q+xL2hWDw1Cr9VcvTO63ocX5q/3I6QvszUX/SUnNiLd0MLJOcvUAtmEScXg+dYlp6Z6AmO6
7MLZM0cu5pgHWlA0OSc5vXhWOH4sAdjcc6DBjpbQ41qzSCGMqmSE+gFw/bOZdf25oZi+GWw9fWpt
u7wuh8i/1eZiP8EjJd6i66Dd6sZ0ria87Hf2iIYnqlsPUE9bfuI4MN2388y4OY37G9017sXUTM47
cE9XWQ0Q1myccVPPvftY0zUl33JejjjFvREmh8UFGnNdvHIrpGe2CIWcRYScTUoszFtEhhXF+yS+
ycTtkUXRb3xs2jH9Qpx6dzRHFqHM4EjBo0GOius7+3quu0Nf0SnfdnXSbdlV5G4QsrnKJ3fB5F01
1O3wHaIgGnN+pxPG7jb1VUhaBvkb/G+jJ8usljOB3s0Vk4B5kzt46TaY70QaOEXqn5iHOvsqTV0c
VJF/cjofXCtY010tIuPQxllCp8xl6LEBWA5x1xf9TsxtezLeALdxg6YojEODxuIQtlAXcn8zhj33
QVcL9AmArXe49pvXqel7lrExQwcsYe/js9n0rAIfk8THoTAqdeytdPyqBBxYfDdQxVZ861QlRIR7
5D196rLKfO1ViY45ByP6rfMJ65kx2t+SXwZ7d/1xq0RWVMRgWmeNEhJVgJoA8hKu2GHC2Y1eBhmT
Z3jh7tJglJB5CIlYL0kMCZBnFxU+SazMCji5r4xvxLbvle67LRhOfhQ+nLFLEoRbb2RhC/XbA4B6
KJwyrt6NSVFwFhvKA3DgcEclTeWPCAJtDkR1oVfuaDV8QrPanzzFBJaw49TZemGGngYNEItnO974
8O8B58aOsWtNP7l2Mz1em0YfkVdrVvpYETNggRRBINha9hgFULCLc9qZsGxU5fYk9abo2vuy5j8s
NOpbP4FabOpOvLyFxiRyhUS/JUs6tVce1LRK2Jd64LIJvGa8PszqzHYYoWA3xlOduKTLGZqv3rMX
kh8VROYht+Mvb3DabAXnFq3rXIUmrBcG0yQqNqhIefsNj8Gk057sGtrd5Cf+oSwb9JPNmvQqW3xe
tGgO8JDgRa2bXecTxmDQiL6bMJKh3YLiWvkkQ8Tgre/sdpafzKLJd2XNA06icXZeeKI35Mn1O6Is
yq8pezhSeNE9dZm7vONB4qgdG9Ftnw7+Y7m6W8C7AOVt6/Lgtbb70lOQ9sGQWOElR/07/wmhtUID
H2mfLfeLIcavYxkazwWAHmDSfWpuPcP9/j1lvQ6/zYL/rJb2tBcMem9AMxtPUZixyOACO9NYWOXE
OvlQDkCN/GrUe0MMznt7mOX7sTXk+9Sp5xt2KncfN7GxnbFGMPKV4MxDnDz0IdqHKmb8arUlnpnM
1jdvd713ONSiffLQ04m9IKqZja9LrxzCvRl5xtWmHBaEiTyIe6LNxZUizmFX+ml/Kube3tXICCFX
C8lLrPz5PID0vQ29dRJXEFG5eXuWF8+ko2BIJoicUK4WL9E3dB/DHYkKWIEkrIgABG12K9AcnVwg
9y9+GI6HPkR3isaSzZBJOl//QnZq1mG4NBtY3Lio7GIjZvDCzmKuhGTSl7JZ37AozAgYwvJW4c/Y
4lEZIpDG9fxO6MpxmDFP6W4ZZuKWTQx7uT+nTO5Vemszm98PNhxuORTgzKdF35mgkXag6PRtozq2
boV68aCayoD9thQq21oIF7AcoancsTeNJ5BZcElD2ZHF0SOwhEhXVk+M4Ms9rBtCTpJSdVfISfvb
JkLUBkkHSSM6eHLgzfpMhvG0ty0AllixSuOpEwKJqVegm6SbjBKTOOuNiJBakTxUp8HyFhPpjQ3h
A3R6Dz2Mk3di4HEqaix1tp+Yr2+5TLIgawdvknilS2cNATQQGxjOGl9Gt3NHz9I6g3tb7mkhqbM7
yXnn9XN7YsYJtdmeRzK7Ct+FCAQEjpWu7OzlXriad96w8WZvmMjrJ2ng8mXaHI+XAVTgBhaWvEtt
s8S9tTThsTNTeUiEvZxSL3QPEwqp9RPdqlhbDGWcGJNOYnWbISkeLZ0xaPZIT1lqqES9U/Utws3Z
+jiXs4dvqmwe7dEmty9LjCvCO+6GelZBJYlEmFLjq9f0am/K8sUeaMnlzPQufAzMSAIjCULxrt17
XjvtKnS2hzBMGBxTl1yRQ9aSVNcItaNCjMnMcIpNH8932PkqhsNu8VmVxmfw47fa6uy9pfGjUbc1
J9yVVoB1+2mCfbppPSMCNtMcuBHjhmxMRDfQUInk8F4wh7SbPiVlh4YMBhZviqIgs8k+EF5P3I+D
9iNXNZ+3rFGqBgMgA1Zs0krq8Lou42hDGDzEwyQnZLKyGUrSPI8/RsPoHDNtYombBz3uUPdXj7V0
rQUtsWiQMlsxTEK3vivLrH6BnFcG7OrFB0LlyAVhuvuoTBK7CGhHXT+M83K2GJcfZB4PRyPOHDJK
okbeSa9d7pDHt4+4OLMdYUSKKBJEzlt3cd2dVm24CXE1HHJ/Sfdjk3EkF3lyjlLS27ExNq8+Su0r
0zcwzMC88dvtVEX2RFrFoLPsqitfKe/ND9otvWvTH6DRgSaq7scmbY3Aok96Fy4AfHq6vCDw4m7f
e+gDrILZBjJIgx47fep22OrQeZWxbJizxst8K80+vS8deGqoP9oPbkt9xbgwtm5mz+8/ZHmszgwg
yvf430QYQPCx34l1h3TNAm1C7MUY38rhKk48eR0XXf++7OHQYXKdzrkTjVeTMWef8d+iY6R1WQXV
0Id3o6qLL0WnEDq5pgQHnVYWr0itzmZmyUvbQ/Z3kSeDYhlLyVm3k3SZMTk/26WCfBc6Jkj9cYxv
KmP+mo3Ke7EqhYPdXzwmCLi5yY1LN+lYzAE13sJWGBeExwyGRn87t6xkaZ4e05rJco3Zha+X3fY8
c6rAPm5jnzSxzXU1QqSkeDJyIjJgM0KhI1CCxg0mKx8ncmbW71s7tbeZC2I+EFI1w9ahMmZe5BZP
VVZUl37JrVPbEiZDPV8Q1WQT31J7A86ODm//keOSa3yd+3yog6l1TiYd33e90dD1p1954BQzYT1J
wmfA7P2FTTG/o1RMP+FlqJ7TBm13PdRaHWoDhQmouybJDmPlhE6AlZ7seaMv76VtTiWNeXDpGbIb
PKDtlJ5Ha/gaTR6sRNo7F+175ZVNZfu5rAUCjnAdDxjZzVKNWEU7KHmHnvSzDQEV1QXb+4RirKn7
GwKFopuUYmjtWNLCZbqItidyicrDwfHA+/+lL0UcDOxpsAoU4jA77JezX3XDXSZoMkhyjt9BwbDZ
uJS5Y9Ad3ne1Xb3aBtrStJs+EtD2uAxEy+0Vc6WtAf39kMJ/OPS1YW941fJHMFvobuK4aR8ckXfF
JnRJFIsHsV/GlXXJE38Evy0PceyqC0p5mspZO6hTXPicTVMreoWGDyyBlTBwbCMi/0arJ4467CeE
JX4MCyW2deS/pzk9XYnatA78Fmvb6KZ/lInEW+O1t2PVzwRshwwVVjsL921Or33QsIexVdwxwA8H
8FKaAQlDOe6Eeq/GWD4lkAXJd0l4YVs/DqaSmmqOXX/vGA4K6ti64wzyjgU5u9X14p6bBnFzP/Xu
rs7L8FPlZ8smbyePxred3rg6JFPIoWUcWC3Vre6cBgvSVD6USxdR4Rr3+Gn7E5iQ4j5MDPdO4STf
ughhbsx4tL+ZUVlivZjQSwxJdA7LeLgtHR1fcidzHmVNyhqhiktoDB/S0iBAI+sOBcvtbqyRHKAv
FvdADpBNTEzuqj6r0ELa+WPPioukeVWB4MY9tPnwFDG3DLQS7tlenZj91H6M6bcfU4ZZSPh7fWYh
NWiD++OFUk4B5CQ/Co1ERv1bld+GPsX6lPf1q00O6YcO9ReT34jQy9dKpKm4MushvGIUm27plgB7
wYzxNFiGnjeGD4nqJsnbyNpUZdPowG6r2mFYpxeOZnHr35Rzmz+VBTgBeAr+IU7WYGFaWE9Igb4i
/BsCsVCqtI3dnsUCnNjh1ODkzCgoqjgkNYQbLSZJHkXim5ghzaNBRtaZ9995UYX7DvElaU5hFR2p
CvMt7Y7PncUUEuVWCL+V/XWeUE9r95PiCIKG8wIH9p4aCuAHc4GNMXjmZ8h505WsHAgLjU0jJSvb
2wgNzIjn/VsM8vjOEYZ132n/W6Ol8S7i1Xu2LNXGW6erGqI6Wr26EBFMgaStDvBIh52VNOXW7Vf7
PPmov8lM/rULasHYd1xg6L65Kkl+7IK6OrfK0fDa4yTp340GzbikrngmmwPn8eI3obe/dHbRDJNd
bmJcdGlJ/Uw3UtrR1EmqPc4VtATR8UdSoH/Jozrf/nOH9+8uBbpM+R4CBoel78cPJjq3pv1o8sFi
L3rSKYIA1MnmNZLe7De4tl/YgXwq01Ir3QiX6C9eXDNzxJzjwzkCbhkuWd5nR7dNKTl5eIMGP9Ch
Gnm4/vPPR76AadOHc1Yl9o+fz0lC0wJe3B3njLuIfYRduqVlx5lU/ubz/QxvIpjB54VmhKHIYZA/
I6IyFv+lrg1w63Ns4/sKjZTFzUsxWdPRzGl/IBYz6SDmS3w9YFv8zfXXTvwPpLb1+jaIOIh064zm
p079HMk6hsncHb3CoAFf8gExqTz/8/1cn4efL4JDWXjOSt9iLPDj/dQm20XvW+2x72ndqimmioiU
Hd7klliOy2zpYISZu6taiuR/vvTfPT+obxwLXiAwunUK9teRiu9IbUaWDa1/yuZdbTsoy9O1EawM
gXyc2C8nmAEc7f75sn/36kMzpDbnmwU2uOr7/zLJsTu89agV2qNq0vxsFuOzS/jVMXJ5an3F8/vP
l/u7F9JmjRESN8PqBv/xchESUpO5N5freuepsZoDh3+9a0IlfrPKmL+g/XhggLhZkhM4C434+YYi
+f/zu8QWDy357dmcw+GL7nk2jS43iW52xYFJtvgEGoNmEgP+/8dDi8fCVa60cZn/8tIou1+IJW6P
torkvYOYBTs1S+x/flP5CtfxlWDw+Tbk+st3KInHHmTB0vO2CozpCg/2Zx2YMq1/8/393VsoMZxj
RaEr769D1L8+LpkeynGGlXOcpgbmzVR9dL3q4z9/nN9d46dFLXF6C/kuz4iJmHRx24P0ij/liv+e
g/p3DwfPn8mXw+MBgfbHz+H7qYf3om+PNbXrNcxZ62xVJYOycUpeYoMVhrQ0cRtBFtnWeK5PXmj/
bkX79dUDmISXADeB8Gld/LSiSdDtNsDV5hiZeEH7qidbwcyaSw7n+pTVfrn9T+8r11PE6VBHWViG
fnr3mpUhsGJ1jkWpKVDc+V7FpvpNKfHrC47jCQyeQ2vX+hWP4Udmv7RZ3oCMIk2gq6vkf9g7k+a6
jTXb/pea4wb6ZlCT0zckRVJsRE0QlCihBxKZ6H/9W6Bd75qH55KhGtfADtthEQSQyPzyy73XXhJv
fOGREfDJUDxzpdn3BLbBxQb1Dt0ZqCSZxtGvwIb6BKhp6miN3p2Q6cPHj+3Ma4IHbMLNdebqyJ4n
7n98Xa4oMljSXoW3WF/L/FnzSebIQHbV4Se4VfP9Gjujh/99qZNyhR6VO4dIk1qO/3dll3Y0u6Gb
Bpt5Rzp8V073o0M95nD+AWLLpruvS+KxXLasa5B5gJg4/d2aijZaIS0a4IVN9pwD9OHQWAOZtxAP
L8OcfaBdlxbAIU6L2Fc169xs0ubgdflw1VctHWwQNFAD6TguetQyn9zoK9j57TrLCs65ns4HYFjO
6WKX55NmBbCHd6T9NI9BUepXRuffjq6bPBdgAA/tTPgh2+1JIgXagOSmZzK4e5eI8sThZNaoRYbZ
4L4I2RghWCTNobiFzYP0isZSUWU1TuOefmNieSTdpxamn74iLq4zvYOWau1ysCt7x9k2Hs/GN+EG
ZSneE827yGy0DIhdw+XAfL0KEMBPXjSsbCqJgKdlauwb4RD+8EKS0/54rBExgiaYPBGfkv9krIVF
V1N9jDyXVFMXnRFYe976sItSlHeLIbT63ccXfF/wwDEFfILCGJxpcFrwEI/cdT38j13gN/aefmux
ruEIX7iWaLYhovGLmNbrnZ0E0fHjK5/5fKnmALCaaHHe7zlkNHZa3LrljjbX+K1zewNBvzDuHMNN
f318qTM3icCD2YheB3+dlo6ci7LfHNsSJ4bkVKQzOMTjJIgAy7SUe1dliIwVB+zjojdp2n988TP3
SV1luZyFszNAZ/J2+vCyqKXtVJY7DO7YGPryLhoipB7pKP+4DMCFyfdEyBnbK2c2ff5zoqIHpKLK
SGe2t/84jhjbTX9o+Yos64+HKeUGgimEUew+dPfknoSqqhbGW46uALILKQKgqNMvfe+4GxpPL3/6
AG0dozf1jQ2A1DldtvA7iNKG8LJDVmPtkD+WFWeInOmo3MrUJ8/w/WTPxShtKA3A/5qndCewB0bs
tgV3ptl3saU91pP/kg7WHRrtT2qQ+Vt+OwdyKbalLrfGnO+cLMdgFJKx1BBigPFZW/RKg8rJF17e
TYtpDhbPzc+q0fNXDChFg1kAd+rV1TCR+9V8xdroDhl2nWrETyah5LVgBXABmhd//uoovMmLo+rg
iicj0lHsOxqcnuR0tYcx73agsb8krv7JZd4XjMTS6WwNLZxiPMyTQqrz9SFJ+NG7TjO1O80r7b0Y
WBE/vpn3swhXQXNsMDPrLnXj28+LsO6hTFMj20mLjhadHuIt299e6d5A4OJA3Z+W1lh9MkuamEne
jZJ54vAcBziqe/qp4WQijDimmRA4I11wrMWsdQKywBBwSj+VHGKrMSDxWKuw7S69KRAce+netkEt
vc85R96Ao7mbRqe+JRM0A2oJIvG1LMAu6hyRxbn3gdm7u6hRzie//dkX4wfz5scAmn36YpAkxDkn
G/mO7nSJYS1ID9pAn/PjF/N+huXFoKukpRSYM7H77YspQMC4ZVTlO+yUhKJU3U7PAMR5f0zDR5rq
BC61LfMQoKaTAeAAaypFXTIRDQJbmxbG+8HVh83Hd3NuBoKOTRvOZ1POs3t7N1Oqm2SraRniIZiI
nccyNTgkf4A1/EF08J9X0ewZkYmyZNjAxE53qH6TuB2Cq4y9Y/gyPzuZuDeFDB8/vqtzHw/mIZf0
zTlR4HQYQ6oojani48kTXHjZzMg0QgfvKy5BGTn+zx5D555uofpkqTo35yEkJX2Mxff9pofWqR5b
cNp2UWSSm6QR5hxtRPog0ukrH+InVzs34Nn2mAz2Ga1w+jQhSCIhxR+5A5qWbeF6eze9mX7GfntN
RDhdOniIHiE8YBeQL70dI0FrDi2wyAwjea8/JLFebTQUxzACrC7nbM7r71PDr+AZNd2XeiyzKyf3
rG3so+mcRuFysJyKlVFDzsXgix6jBe3zyUpqnH3yHjtsvkwsZKeFjwyV7hAcw2oz2BwTNPWz0QTV
ElWZ2iee/9gOdCfgI3CIUVrJQ9Z3ag+q+nuMomNyRXMQfQHbhpb1wh01Qcoa9/HxqDzzrXGmTQmK
W47m4umCmHv8Dhheqh2UrRcxGc1GF4gpwxz9yvj88bXOPA7jVWMMYIAG8WkZYxojgbF+Q2kfGi86
DQe8ZfqzGvNyh6EBMzPOk08qjDMfnQH9w6WiYcV619Yn2GIc8Exze6nzLU4ibWmi2uEcA4OOBfn6
vpZ9vUKN0e3+/F4Ngy4mHSkKxNOZ0tYC5Ia+qnbs1a5qt5d0pfMbuvERqNToYfSBE3x8xXNvkpKN
NgC4iYCp7O0XwbfSN8quq52mR/VyNDpUCaXV3PR1UOwKl430x9c7s+Zwg9RQFgsbxeLJF1iEErJh
xaMduoiTCxvKnF5X9cpCEfu/uRRhBbOfcw5nOFkQhGcnTVGyRTOCqrx28npaSDx6x6Q1jE+mr3Nj
lGwEhicG/rkf/PYpdkjiyonOwE4V7V0bV78cp77LFe8vieobvy3/PDOWCQzThekQB0GFePLajIGz
Nkz85W6Cjr/Qvf5WthKyLjGjH7+vMxMzLXWd1A46z9g45vf5jyaOwPWIkIItYB45j7iAtv5U3318
CcfiZ5zMym+ucTImAi3NUhse5A5Bv7HAYikOylHOrdni8gvzHiTYqw2sl2IF9ju6r3rpIRbirLb1
ZUbzr0UNSdTfsgJLt9Ysw1hDG853idXIA5yW+MYMomFZjoTFh0Ivt8ALOJbO/HGJDDbcxw7YwEkf
hmvHkGh1U47vb6egQGxVGtDAqkLJrd7VuEJ7pKNf0lynOqySObYtkV/iwYu3hlTjPneQaHZWXFx2
mux2wOHvkipTS57wnC5A33QBK1rsECeSU9HDLiaf00EsnPVEQFjJsk/SdvPx4z03NlnF4WRwcsg5
xcnYdGtFfobL2EQm/FwPzbMfk4MHD4KEyBk39Dex6j+2iM994dTcFHu07zkQOrmeE49ljUWx3OEl
nHtOV72Z7fum/KR4fd/ys+mVcrBFbUKbLji5jD1ksSWHoCQQI7sRIsFv2/s/6+yeQ2hCRrRl65jf
I1l+smWyzl+XLi1PlM31aUEWiKIuBNymXVGN07d4wJroS1u7weii52s0M+xxaqcI103W1au8RCSo
tfhI3drs9g4qfyfttb2lt9rGaIgNDBGGMuDElvNOTrCD9IcD+GbRD0gBYWRHq6AhRizpvGkVGeFX
7LZ4iienXmRNCja9mUS0Tvl9IK6JX3g+jOvUz6etGPp6g6OL/15MgB9Vk649zTMfoAx99irOvXEX
lKAH/4GJwpgf2T/miERXTkH2Y7nTm+eR49DF2OvbzGi6xccj+dxc9I/rnBZG2CGLHIhkufOdXF9C
FMVMHcfrjy9ybkF0Yd5wrsB5GySwtzej1ybEfFuWOw6dIEVAzWUz/lhl2HpjNX5iOjt7MfqV7FkI
sXtX9rqSyajM+Va02C3YiU7bzhYbFKBoqZvkk8d3biJwafuzWmDZe1f85uNouSkqqp1M5Y0JZgXC
1/hY5fJXk6BZiN1PnqRxblzMZ95sYJEQeKfnNJMiRMO3qdPSIY9xeZnGwZ9kT1aAY68g0sQ7yGHN
chCBdZvoIS7rCFNDVCXlpR/52QY+/whRYOSLAtxoT588j7O/HhMibST6t8HpxNgPIZEgMWVOX4tf
VhA9xGb3NbfQkXw8os5exwNHS0UJWeK0OFCdNsYCPd6Onaigm9M8l6MG17mVnyyk58pWmlOINvT5
b97Jd2j1JE+GaC93DZ6RWCFx7csbWTmH1De+5FV9V+TBJ42KcwP4H5c8LVjTyc7R6OnFTuuHbdRW
v8C6I253D7LqPtlzWOfGLztSDskoH9kLn7QRmt63xTR4BdOMOX4nvfs3IGHCxSH0LmnfRkt81skS
1lO5TurZa6AZszJTIvoLgMjaNFUew9pXu9bEsYCrDZ9R3EgwRQHZ4UQTgGZQ/mbwev/Bd5g1F26p
EExpaiCQYW5tVuZvvTexswDMHoT+HVM/AcQOnHhKvsTvyNMerWTdEsf6lfg/h8XedD4ZTeeeQjA7
dWlxMG5PD2DJTlKqxJ+wm8S0x6WNT123Hx3hHOmZPkK2+Cxa8twrnp1ZCGU8mq2nj12kRjTWFEO7
hAgUdHEt5NWJ3e/KIkYnXKhZk/7xB/OqnTgpCFHMgGkx+VzYZp686Ugbc05J82LnFlOwjPsWIHkM
mri0RucYV3n+IMzCX6U2yslXu4AfN/lD0U7NukHSt4WhiHL941/qzHOn2Jgt0AHGwHdb3sAdfbJi
rXw3RwWvYzkC8oopG8e0IvNKEoGBLvLHx9d8h6r3AVHO1Q2bH/ZM7/a+0eBMIuz4otUUImUlwGGD
INXaqBByTOC51oKRgnLSyddBJGNoJSrDeWEbq49/kffxovwi+MKRY0DT5KDNPFkVkUa4RZMU+JZT
i6OR2deQWPl0g7a6dI48GW8Ppdk5YrFSBOTQRAbFxzlqIuPuurd6fTOOof4tJhR0aTaT/o2yuNzG
PUMKxxRU5QEeGpL8XyNibKbsbm27abxGK2xDSi6bHfxwbw0dzlv50ZFYEetrZpXDFz5bTGgjH8Jj
7LfBIde9J70ds0825mfm8Dm/EA+6N5/QnzaOaLeluWos7j/Phq8xsrTd4A7JI8DBePPxsz53KYTX
aA1wo7NsnBQgHDrVdTEvS0FlxSvQmrObbxDZIYjz6PHja72+t9Mvbe7+WuxeWQZPt/+l5uZtXyRs
DqDlglPnwBiz12Qb21AAwC293DgalR5eN4PZX5mmFt3A7w+WtpWLLUlxcv/6C/0fvuETfIPlvlaa
/x8l8A53+5gouPkqKf9JxPr7T/0P7tb9l0+3ip2XOQ+cf0ZzBiYpmyydeI1phJC1yST/b4aDjixw
1pTxjdPPY7z9DxHLJNCTo+bAcTlnm7VLf8JweLuOzM0RZxYumHRI6G29+4RMQ4+z1ondYxBVxLwW
xrzbLiXiwBHNdwNI7pPG4bkLcoKsM105KGZPiQ4Zdy1MgdeLhdFfGQiUtlPQDtdu7iMdwqL+SYHy
9sP96wZZrXhe9IHY5pysWkHqTopzFvvoVbH7nAZcwOLc6045ELk//m7fVnqvl+JV8645rKZOOZ0j
ZNzHnI4b9jEreuc58VI4DM2c3ggHybhqpil48LLUuJKhM9x+fOkzdznzJRgNPmSPd6HDfZ11o65J
+6jMFAQ3ygOO0ByiHwpMS8Un3aeTBfD1RhmBTFCc9lLzne7GhgoHhDck9rGvXC7kCQkCtE/xGy27
xgNEVFqpiA8QjhWbNdYa9c02KnIghzzRlrpJeOWf3r6LwpWSBBW5i+TopPGWGnHY5lFoo8S3ud2g
wOSmz4Eq/8trUW847KhZcdlJvV10o9TS83gcbdhIvXHVEmn9Ag1iuG1TUzx9fFvzovLvdWB+zi7I
KEq8ucab42zfXipphIQF1drHLox/K8Qc69YstE/e5vuhw0WQrbxe7L1uj6wq2yNZAJcoRs9j6ndw
031XaEtjyvAYf3xHJzLWv24JiY6BhoRQ+nctUnSHRjdphnVMzSQD5NtxTSPUlLvIpRJPfp05z7Y7
8pEmwXDLUbG1J3zL+mtB+4/dsDMjmKRkpj19/lRttvpvn2yIVCIMSVU4Dn5jHiyO80iPD4lDEJpi
hNJmxwWWmfDcxqkdiQ6cP15HqGTLDCL/qIz565mQNhvYwEih85xuHjJiCYciE3y8XTjcIjLrcei0
1dEWMlh//PzPvWwXCCOymlmufDqiBuHLSnq1dUwcHm8QRHyy0AuZ6n2XN/Hxxd5O9UzfNkpQzrHp
UHO5d8NXxA0A5lpohxB8xwRYVIqnkhLlaepBDHTlyOzw8RVPI8S4JGcYHmAcl09nRj2+fa8oCfC7
sVk46CERIigpYXwpqYZbFzDZbUJSagF7BJNx7KfmHei5YF0MDbAyrSS6BQ5evZtqlr/XGaTBSacY
AGZCaHUMSnyV4DD85CE5r1Xqv79yh4UfjBKCCDfgZGveVrz9ncEtpDTILfugcr3Y6BOJHlXiapuI
JncLZbmgub3M81QCE6lSThPWiH3cGym1vFiDwON3DAnQS5ahQw7oZBXNywC+1eWIceK7MmuNmVeX
KZwOxyDSFvpwYD/XsT/c5i6sID3lj0mk2HuP2GcJG51kJM5566em86qjH9nWQaY8wMWY4RlCwaTJ
NcLt4KGZIAIvY0JDDc73HX608mLOjoogdjMMYwnQpqhNLOBzZc01OC88ugpfb11zeE8YpG3i3Euw
36u4YoQIm+CmsfKaaauFU+CSnWFVRwXkR85BsmV8wC/avGRpXj95ojTFoTCS8dbwqVo0KuAOIkIW
Jd+NMeCVeZPlzoAG1HIPNWEZT2WTuc8ZaNtpaaem8zwagXqB8j+v0ORlPBekoPzEwm3uutqrbyXQ
D3gmmBK9JLK7BfNvBwwUpmKxNEbDuCOaiI90AFVrh5m2tAabJxom4QMbE0JOLEu9SIWoVatM4w49
60yB60PvVqkIzEHnEIIY2DMykmDnBwOL4ktWRGRNuVYTrCcVkrOMtwAKsBj5vyB0W3uCCfkpRYrS
aWp4biDRVf3XilqyUm+EcnNMrUUsiTKzwSItRs9jZNuxa4+Lohwn7xDPhckrsCEiYO1CT83hFsaG
y8GfrmmAKsvcuIJ8w6jJOAB89tyMpzmmqWiWXeWP5bLTQ889iHm+1MA/qq2yuzrfmpiz66XleLCS
JHliL24V8/1VejRCN4VJcBWz++RVOkXj41P3SSQhk5P15i/ct1FajOUO9t+DIhlVbXHb0dLRyGER
hs9a1LATGjZw+Sg6mpJW8RIxOwncXj5BNUgK57mraucZXyaZvPRjgnyFa5VekjUBDcK64K3MyLW/
l11X3vlTMl7mJOmsajXAXkg1WlYbI9FJt8qrbg9oissorD8kYk9Vu9JV6N6h9U168pN87PWA88Yr
WjT6kdTRSiyKLAiWiYPTdHA0ezmW03iXBbqzbqtYiENGbAyVkZuB0dRVedOQcIIZPGyLX5Ujm98+
2Sd7x/TaK1Q7LXE2Q0puQJsxM8E+YuLqdQGZutFG8c3NM6k2UN/dn8PkgeduSuLKAZBGG7okHoT3
ViQrI61K3LptdRVgE+vh6Csc68B6gI404hKKqrutyzE8ws706q2vevdJJKAmx1JM310kxgeysCM8
zr09fSeXLlsjB5iWyuh4jX4IW4fQrfJ7SphnQ65MrFaZLr3tXIwScDjUylxJWWjrmhoQq5FZbCA/
AyuIcWWWbGBv20zhvc9qsU8lnvLRacdfYVT10L0S7WYMquIb8cPwG8eyWYAd5RSwJmEVhD6WRVCd
fjJpqxBU6LLtpLEpRMUP8rUrkFk6078V4gjPJJRxUpFyq2qWWR0g71hI1/Ojan7zor+g0vV3IMpH
Z1UmtAvt2Qi7sPMgBFoUEU5bCbXMG0W+TDVqa7Oo2nuRubVYdqXatE42cuyh/8w9VX0L8sRc4MYc
NkoLrVWb83sEgCJvWJVgWk1M7xcu7viFiHTeqBeZKXCWoLzWm1Zc081gUGv0qzmzCRvjSjNTPgml
2DGsKwFt54j5lgLbtAbAnsy2zUskdSakagqMu1GfGLK4AYMHiRgkgqYwOJC+k3gocWTUOjBJD0U5
wgmtegoNe7iGy6UtvTHHI6YC1mO/Bc4CEMmujpXM559mDLT/s6RhCmI2pjATFbPtwD4KRRclnNtN
xl0nbD59Tk3rnT3Q091hoBdPQjBsAdJ0FVFJeZk/mRUqPjAzRBDgLzcruOuxEsV3J4198XsUnb1Q
nYcrLPcaRQqq3f8q/L6Olk6mOY/gZYO9jAO1A34BPLkcoqRdgN+Kf6iuIVUTj6pjJ1G0BBpWq2/I
8lvtK5Sgytr5ZuxfdTJNlm4OPyHG8LNLNXfajP5Mmg+iwlsgxOjvO0cWt24kfpv59G0wbeNL1pjN
jnmVHC4zIPHBboX5EjVx9EIcbv81aj3eHF88eZVdBvHHjrx+ImQ+IcSkzhVkDwfg62pAE0YCrMs8
vsyg6faYcgf9iMpjvKzpYt3iUUug/RJubixc3gJUTvoJD1rZDeUawnpOFKK0yeCd8i+1Ybe3ReLX
S7Ax6qfdacDrwNP/gAwAFc8VkwlbykzchfI5wM5iiesbrkywQELJdBGEziotfPBjffcjFFr/tW+i
7MZoW/1SJpHzPevdLFrKPKarBJI6WdT0Oa8Ce0wu5eBYB43wMHcRd5F6NpNeHAskSesycdojAh4y
UuwGXsrWYMrbaBSzgFSRTITQ6EJv2MRIpO7cTIhdV1oI10CXXehjC+AM7dci6KL+CWxL3a51pezk
MCTgGaEJ6pq78MPez3Cg673YBnFL/KpTahepN1X3eiLNYKllbVGCNPD0bNcyeK56VvjfRlery1aI
bjuwEB7LVJH3LIKYmGGS4qx9zOS2zezQSJaCykLDzu51N5HZYboo09ARjMtcPgEatEhayZ2LISFn
bGHpYwDOHgoM6vRCtiEI/cq8bLyRc4oxqA1/7eeezYRo9L8q023DTaARJkcUu7237dpcv0atqtZL
blVh1PetMaoHPx/tdUd6+xLJKVnY9H8XNoxt0hyn1FtZovcSTgmn+EUvGtahRie4LdS6hAhrHtV1
B6FmWxL+CWwRnP4XvCvDvS577dJJGitaJFZtbXzNQq4BlAlHuvJIHargjiDdYOz+hlc8PAoOO3/2
DjFEvQtiFi2ZC8AQo6GDYYg0RLkIAaT9psdbk7MJ66PdeY347cRDdK1S9OCLKYHwZvUDLPMKBzy5
i0k9kg0gJUwXXORaDhUIqVfYYEuZg36mES8j/GhQBg5AB/+YtfoIMcfrvsXuWLVLj8jCLzrRSAQL
ijL/UgY5eJ8SwvhNDDNvyZqtDHuHFCAf2ochrvES/rWD/b9e6Ge9UDYu9Cf+cy/0IZFRUia0A3+V
TdKM+5f//i+sB/Mf+rsV6jn/Mm20CHTIIJWS8EU/42+arW/9C+kGgP9ZGU6gssWG/O9WqBWAs0UZ
yr6XbR0NSQ5Q/26FWu6/+GkI8thCcV5vuu6ftEIRc7LT+udOjNNgz6LZitIAuwRna293Yn7nooEb
I2PnU+XmnEaiNZA0YpdTOdYXSW+RYht+H0uUDouWWMV7vRWYU3U2KQmtvyurcmfcQWdtHC80wrX0
UAfHnJ8fpVvmdzgyiRil4bOvw+YuZLM/h17UzzrBupJviAd8rzhWeTDB+V3PnMx80ZmafHHCkuU4
joILUCXOc6nXrOEU286zJdw5Jwfl9UPjVtqvbOBTz8jRHn4FHobX9ADapr/ik1rLAolKNKRHPQUQ
sXW7sLzrLTtqCKXRWvuqbbDkrsy4wnOAmbNZkFbSrYVPteHVksP+IqntFdqf4cqQA7G0Wex/z7Oc
RB3VdD6PBRjazhj66CIVRkvh6pIxTQwDeiYfM83GqCGXhyr7YRdTeYx6tl0ovOyVI+3sm0wVSVVG
aK80GuXLHG/YAyyLcY5rgm1mq5YoQVGI6zCA07gdQtJA9aHTnhoyNletGob7WKdCy5I0txf1xA7u
gXZN1yw9dwAmPsmJfQYVtV5vwte2hzfZjfkFR91UbzQanXey9u3nFoLbtIC3I57syPYvXFShd0NP
VvLCzDjOBuFIoRVkuG0Ii+yNuyhpqG5yMWcbkjVJiSUrCjfFsSHzVaMo3yymKjK8nI5yyo8DqjVN
1mW2eW3yYJal5Hv9RyoZ3msoXEqtui35/8a44M841ph5F2LO7wWFTEXlNEX4kMLpTpYOPJ+LprPZ
HeVxRIuC08ngweckriVFMmRf2YIhXEi/wy44xz7doTjlNoqW9nfvVe20HRp8eVbcOM9iAPm5ZeJl
myEHNR2Dct4D4U6qjrSw2TdzuMsNYV3g59TSTo/g9vL4gAeeX6A3ampOL0rpRRRdKJ5yBNPhAkwY
ZaJDtF668gcvt1c+zEPzKuzyPtwomHPRvhEde8yoSpuXNK3AxGeUOQubFGbCCKpa5ts8Tal4K6oh
1S1cgmCTBe0dfjwLOv/sT0D0F+yxeYKSXFzOy2rP2tsuouuBzQCtAdWIJxcvArBzTCOkn5v6tZ90
7sXrFV2vZW/ZabRB+pwkuEXdmTzftI/Ch15mbFhpaLKBtHuzm7ZSgpXSx7mDRaQRXQ2d3lZNMkOH
zGyQOyKrHPsmAmC4zqw5cCGxEqnWodta1rI2EVMuIivntsaC9kEc5u6j3aSj9vD6WyIVa6MdVQDi
SUIT+WUdQSbrQmOTchXInDU/zxQZR8rtec8ZPsvpa9NnRFRX+fxKTX1+PpjydHXVsIs6BnN3b5QV
/x6MCVlbfhDRG0LblGyzSmNAvHa8vB7cDwRnukJQkI1xk9Qi/z1NDiMydbV5TBkmvKbI0XwIIG03
c/6NYmiXsciG5eBlROhCnIAKObn9rf7a50NG92Qx0gAwVa3hM05LMkbphooLGGL4qR1/BMQPnHnx
V4+7INCdYwNFSglr/TENxuCBl0l+CRZM4zaNxwa62twubuxWhRuPDsbXjlG8TXu/2ACvNpd6Fzk3
bdKonynKU+KyWHQe8iAfvvquViw9UzKwTQlVn9jjSrugm4iLtiwyEH1TRWzGElZQbq2coGRjwyOD
BshhuLfrOX75WbPhtUBJVb61tsOeJoepMnsfRRy+WOX8fMchDtmEkZzttgRfccECYI/h2Gub6L9o
rTUIDM2akKdFIW2xt4bEInXGxw8lWTFuSkOUt6h4yEXu4EZCQcxi8z6oJo96Wo6/bK+wDqFskl3a
+cZL7njTgx+1g0cOdpJe1IC6f1n10N+1jjPuBYrruVVIAzHR7mWqSWRVtloRJ0s2ah74yXY0iIah
kMpB6JY9/w16ou4X47qM9OkXOSEZX0Cfq6NPSwwnT0rnZlFMofVEV1AdGxpb9ZKDNmPf4pi/LDgO
XTl9L+f0OAgIS8J4vQtcHlfSlcUv3GGQcSdfAkgbxno8lM3gX5E7d2sUONPWWNfA9RGNo4yLnMTA
+mayrXjf6cG26Yh3mzpIBoqg18u+xUCZaW14XXaS2QQcYZnA1rs1SjCEUW+QSBOoKdp2NCIvREYM
w33IRvahj3P5lRi+69jp6ls6nxGRYcq4DTn8+Vp6DVjgdmj8LzVn9LuEhLa1HsX6t8jsB4CF/t0U
me5jq0ZzW8HpnMnHZRXwfRD3u+vQwPLh9ztUdMWS/eI1PT8A54WIHbpssX7RV1MOBa1u9Bt6n9V6
MAmBoMdrLFSKgpadFVIq7Cx6qa/iMO6/h4R25aA7Wyfd6EXbgnar87xdakQyrzs6kUt/0Js7s8z8
pwRiEa2YxNK/tClZF4WuiX3nWozq3kq/Dyzvxz5v26vG1L/30q8vhZpG0HP9INwlacPNhQJXvOow
IX0d4Yge6UUZN5nhNr87e5DfR06L62cy3PLuJnFlGB0bOWW0zAAJiFp+M4F33bBhCUHXZeGCUnC4
6Br6mSRiYwJzSaUG+fZFSghjykSXTJuy+JU3/XBRT0kKr3w0b9Kk6Z5oyYerCBnkdSAC8I8tTbxF
VsZFvUCeI64ILswuaRaaxLq3unZjE6oGF7nt1zwuQh1tdzgIVZTfk7ax2Q6J+7AVOr04+QBUs1vH
NILnNNAnw4z2aZ+qCw0d5LeeyJ6Cb26UbLSUgSKbiCMV2dEXy6/ayxbcE2alhr0Z7axYN1pmzUoM
BOjEjc0dkuFsxsgx8CeabcPip12x7zS3ehJfFD2UB6jhjyEnb7Mqp1hIs7KXZd9kK+BV+coQHePA
hEgZg5VmpQhCdMZ27S4IgrSNDXoCIEWmKawbuvPutR/I5mslaVYR3NRV3E9Mp2sCWes1HSmtmbMQ
bXTv6rVxLKVGY9Ca887L0dnApi++JmnV0Ymk/NjAEUxWgzmj9oQ+aIu2cVE1jyqOr4uBfE46wuOd
LmV3HJWlP6KnZ4JyIzJBHa/bJYOCet0UwY3V6B1SlJaWYGPa4mgVU30bO+SY0hdVPS3RklC+uK+M
Q2un7Q1yI30lQ3dPPqJ/UWXReK+rPMTbVbQPcRt/SznjWDrI2ykocKncdyKAza8G9My1sg5wLRD/
6BFIwiD2CWAFkr9oZNrTXi/0gPMtr3XlBnStw5dQNNlSDE69sZOW1ZEuR7SovSLfit72H0TAjXdi
kF/DtPIQQdVhumY57Hd+qghuyANyNEPSmgYJAzdEj7iQaWyvpjFSR9SxtsUmdmyPg7QrgPbmYG34
M8OlVwyxv/SYb15STJ6//TwmniFznWkXB03+U3hevQtkQPtrLq0E/gbgs2O9QPlTVITdp+460Wqx
TomXpFPnt5c9B/2rEPXqcuwIN4Ajax4ziMlXE+nq1j3rW3bZlHCfu2URDMV12iTWUmVOddsWQ+Te
5vBAySDUArnoSLCHxtbbPzLD1KNN4JYlH5BOLUhOX/YlYpEFWj5clJlS67HNgmGZKh+YImXApUmM
AzMvTSLIcx1Q48lKqbHs4Cki6ex2CvuUBnkUb+qsHS/wkThXdQlOEcpjrRGL5bQHq8qb42DU49Yv
EzDATqPu4r441H19FP40rOrArL8UqlI/cYfp266p5cFAIbWVkf9AodZvPGK6Ok/aNylYH9J9uizL
NulQRPlBxVNvbACXT3ARbCnSZUWvhqx3051uW0sXPwbUpBHDx8w7Ws1FvrBA9pNoS/Jr1kqt+Dl2
BMJC8p6+aPEkSYkV9Lt++I24Ey2uRAJB/wqURZtqaftwoLkeW95tRfKsAMceH2kykUdrlfozKQPi
coDAvEh8xsI+60FrLsiSyNZ+lsbebUDunv4ISO42kP1CZmV4TRe63uB4W3Dwt3RE/zjFdoXmS/qR
dx2Zor5m9ds3BSvoZ1yNk5NcRNKE5SG8t2brqf1OER8FfTuaEXUtvRt731vsRJ0kNvFhe+olkMZn
Shrn7Tk1+A4Obw1cKkSEAzR6d06dx90IAwvLXVmQHdbElO6Kifk50xrw2eBof8Y5ApyrqPNbmOrS
teiqKmR/xSVBEDkzHx/2Gn+NLb8UsjOuCnq94iCRQTx0McdrHWR65oqpDCnbCle96JFu/T/2zmS3
bqTL1q9SuPNIsG+AujU4PP1R37jRhJBsmWSwDfbk09+PR5n4bTnLrizU5AI1SyMtUySDEXuvvRqf
ht5q53v8Z/DUIL603iddR5lZSfu5tPuhvW8IBGy2c6vrQxMQE2BaTzP9RLpEmNGwRaFtUutH9CIp
O8YDsGj1eQCV+sqSKb55c1/cQ2qnom9Vw99HZ1p91nKL0KyI3kgse6dGg6WLEBfzpmu2i/aQSdjC
zpr4i/W1VVZIT+pYZ2DXIIv9fO6Fc0f9jjn1I/tkeQd4KGJstgQ2Yh73noWYUiGHTqOVe3taaAJ2
IukNOj2jXfsOJ7p5A1j+DRvHGzQCbfN//89CtvgedjlfCGk4ZQAjGUz53sEuNR2cwhh1n8UZr7jy
mHW1heL98O3h3ktKB+1SOdKEEAn7O5LNz1dfiMOwX9DDLw5r7ykDYsKCZBpLBBiV8YBtvrdO1DJV
JgNhX46CqzqtSxMgoGRWv+PD6D/dOwYuC41vUXOj1Hl370hZRUigTolN9zKH7oeosy6JlzQewKhp
mzER4eZ7ayrJumG4vdLwY6TxKyI3Wya8+sP5XfwvvPkbeBNsa7Gb/M/hzcvkC5ri5x+Ynn/+0F9M
T4iZyPkAPzB2Xdic/4I3fe0PbObYGojrgjb+Q/ap9weaW1i+DvoBttlFe/sX01P/g9AQzYRuDGUF
nrf9T+DN9wp2osAw1mRDdWhYYOa8Z0urUTAzzBpKwMri7Az6KE/Gfb3wIMNYKyhDy3jCUlqmuhge
kxHfkbFCJFOvGp/Qb5JbCkMndh5VPmk/8Cqx/MHKhkolWjgm+Gsv3ARVwLf5DbHy3fEDq4dfGP9D
hIuQK+Hev9sgmm7IkNDUJ6zrxjs9Zj5jD9K/mHpXu8IAHHDuu1f7NzuS6fGuvt+TztwlGr0FefYc
3uY7KFgkGfkXXRmdHMe/KFsXnkvWI5wmLNyKlEZglVB7vWb39hFlK+b0Vu9ae9/p+nBrR0uKYugm
CwzV45lE3R4usEwLrktxA3ZQFnBesXLQHwg1hO9iLRAvDr6cO6DswEh6GrLzqFrl1Gf4FJKuOhQ8
a+H0sExm5a1Bm+xnIkMAhqRa6BGMs/oI0DmU+ZrBDfsnKSEgVA5vRAV523TdFnXVxOA/MR5q3WQR
DCZbbm3mAADo3DGSWlglNfghCR0RXf8GNQ9J6vrym2uxxdhfxZHxoOvkV60St+HeMOJWn0VMDE8E
SSgh+yjxRlhWBnBlPwAaOqWh4uvxjGX6EwfkNOvx+FirxTl9pQTsGEPGeoOAAEH8FbJbV2wdd3Kq
T4bZwfo505DdqAHbEwYmyHdzXRjQbzJjGVPpo3gyjZYn95a0SKTqSIblcowEPeZ9QKqO4GFkFeNZ
GqGU347YGk7fcV5G4gIj5/gm7HUAsZKwDjInB3OB/tLCfj7jf93kUDZ0NT/uDzqe+wpXEYSO/NNa
o3hIyWTxFhyrbZtP8UBE5N6aNU6xNxzWTkweSyIy+C6j3YLVTYTez0G/GBueEDqBoM7LK3GXh+Nj
sc77W5hPvuJwWidZK4jPxtnsMo5IixCeFhO6xVR0j/QEI3lFQhWOKvXER5j5Or8l9IbBXZe9kQFP
udE6s5UOujOM04PDNPuKiFlyyHJJZgZ5O135HMnWvpymyPkAoUe/GvoquyEIJXo2BivZl4JU+yAx
Cve5iNKealaT41afWbLxoDFwHHrw0VgC9wY5QVvT0RgdGAvYIjO/Ruvc3sKhW6hFvcuy6WuXxzsk
uVNfay3TZIgskShQenXK1KEaWV48m2vJijS+DDmTY0aWlTV8m+RENcZ/5vIbUloIfUuNJR3UJkEZ
MQ5pjALU/QzRA+jwerJU0DWLcODdpgMsms25guDJ8HG5pHjNu7QqFxgaiKT5tPAs7vB650MQpN6O
+wSyurNLKU5OEF84icMR+mfUS6BWGRrjDRxEte+Yfo7U9R2PHqCTqzj47814wjSMHsZR8lzgAAJW
d8S8nEj+NeqHdJ6F+CA6d1YXrVGL+mYaoYdts8lk+yVedvIfE0vL07uwh7A15gwNgrA3zcPco9dZ
zVPOs6wJvCEgWlumKW90zkrL6z1ZoBTBFrsKaRqKoc0bkJ2OghdHGhHfsdMvH0VbW/wrbwOOwirh
RHawcwNP92Ln05h5nXEtQ5+NwgP/L7+4Jpzn2FmGQijBuKZII9gebhjV8qnW6yFiqNPBJzRDr00/
1uwQOuF1IQjydZkXheOtxkiE/sbNCMjZvI1UcNySx0bB10MuXetXEiLD+NHrQpW+2m5hGGplTSoi
vUbrDeM65/yZ1croiMM4hIXhERpVlhDED7FhzjUkx4VpI3AneErGGZuCJPKuCkREn+yeCT3JOvcu
NhdDQFPdPU4LpYfIqHhNadkE5kL4MRfqj3lmAeULIYi+CG5Q7Ob2ngQ1Z3EFkEokH6MY/HlrVbZT
EC9cTWHBJlMeqsrTPjR2ZQRmrj0xsYC0VWAAmS4kpiQeRm9PDEX0kjWh+zpG2E8Xel1cY7t+0Q21
mjZpVo+3GBlHT7bZF5ucQ2qNDMW881RYPOlWnIPTaFGIP1aO5Xjr1jd+RPaPW6WE0pCdl10mVZQ9
GrKB1aI17XYWLS7BPVy2grAc4kOG6rrP5vzCtrDi7AY3u2Vbr56k38X3vZXdDK42yl2tCEVQE971
2plKlpTJPXOD7BEvmyba1gvrDLcufZ2laj5mwk+3nmklqx5jQIZirsu215vlA4dO9amwgT/Xcm6K
rZdo5cfYcZZHi3c9fPOF8MYIZryqnBHSaNLnRLe4zbekdut11lnW3lisjkgLNK7IkXGtdazZBcy0
iXJg3dRGf1JNXu68TE3wE+B6HZaAm21k67cyLKudhkptjRd/9UmmdTVwSvXOAe6b3m+mHM6daq3w
3q9iZyeaOSUYARErzpqzh0TOca5E3KoTG/a0Rxs+HQah++g802EzNdAZgLi6QHWT3MdF4zz0ST9/
1bRMnnzPn0/1mYn46wrlnfBxITozql5EGIxxMWd61zeoMickOasI/mqreg88gBHOYHIIWaJGg6n1
5SnkK9//+qrvWsLzVW0G9AyUF+nDT/YOcE7ceLD945lPm2DlooKqNagxfn2dd+3/+Tr4QTG2ptpj
WPWu+urjEq6JTyKxlS4VhrtM18pl/mmf2W///GKupuk8TtRW/vs+F0i9ERFF4NHLBn9TlkyWGwwE
gzOE8OtL/VzIevih89zQLCIdfd9rqsh3K0LZSKNYJA7QohLGBn4WkCsBz3kRMP/j6+n0ITrLRHPw
YH1HLQcd4LPNcvs4L+OotyMIqiInBhMuqpEmwWP7N7Xzu36ad8fNLVp3sgN4ee+L9SmPrBY82jrC
eaC6cs+jWjZUTuBiJPpwtaQdQ3LMe/5bE5Lj49c3/fMi9WzAIfT2oJ0GPI4fu4WysJQ2Zqlz7Lpk
cfYW5mFcAsn/G1dBdurjnQcpV3v3AWahMRRh0jhHmIBAMzBjdq73W5n3390LDaW3qAPwQH3/mTut
aShbcC++ary1wxgqwK7vv7FM7GVmgC6El4dU48cnlir0UiRt2UdjUU0gDmZR9NNAiMWZhNpWIyPv
Xz++n/cv9nT2MG4L6SGX/fGS8GzDacgc6yjK0Pmkw6Y5ztrCAegwE9kU3gS/wmlmlsivr/vzzgLU
4uM1xN2iX3t/q74xJNpcEbyWdgCEYck+2Tq9t54lPIpfX+pvbpHFgSyZGhwF4vvN0sVXnkvlxnGs
Y6gcC4niPN3PLBZMunRw47Jqfn3Rv7s/kCyQNM3+G3vZXksKMyas+3iWdhS5ZR4yzYt3NDq//dLP
tmDfAXd86gDDro0Fleu7S8jEjy+xjL3a09hPjnPd+B4DpNweVmjZsruqn+urUjLqX4UTZfI4UNcN
1FrNFXOKMdwim7NoLkr7mSi45is0YIgR3lxk8Y2XOtXvnAx/3ngXRBk/EXYkKDvGuwMFYuqQTCJk
hecmF0rCpPosR8F5ifyNpfZfUHWdlazvnw4mrguoSB6l994uNsrAS0LOONgxSJ82o2cuFCFifb56
tc6RGVfhst5lgtqiQ9HS94Qqrs+6N4jz6CkU6UVqS5WU7NpJR47x66Xyd8+EnfKcG8C7M969PU0x
Euk9vvqzNENqtnzSI2EiQ4LCsBqU9jsY56e16RATz9cAlMMSBfX8cbmopFmKfhLueisE1kV3BE9i
UVtxstON//ru/u5i4EbYOWNuy3Hw7mLezAw8UgRkjvij3ciC2EmNaRVDIa2iXfz1xX7aprkzcHJI
itC62M4WNOk7r6U8FXrVhNpEvulClXnjhPEh0iX++kLvDXQND/dZZykebG4OB713C5lJXjI6lTtQ
QSCYuNHo4eAAeE2LxRZsnuZUyR4k5MxdQ4+ck2VTuWYNEX05Bks13sFLBycQA80SE5MZNR5DnT3c
aqAsUC9zq2FETXvOoG7enWOXW4gNZf5PN+KzTStGeZxrWGq+L4US8iQrN2+aozFP3vrMf8uHONlF
UKo3v35oPy10LsUagF0KYEvGwrul0Eaa0fZjXB/rReTmGSh9SFpV/gamCQIusoB/hx++q4EsjjUI
qYsvhYfK/ae3VMy5qavato6OGq1XWK39sbYg450BEcclvWWt5sx+LMfR+M0BYLxfIogCENcyeeLK
BgrIs7Hfd4vRysI2sbCsO+o6SNK81qTnYMo3ERxjGgEGS94L89zUWiPL0OGDLaMlwjGjZG+0C0H1
TLvUuhwUcU4XvEYRF0Fj0dX89+yyjmoGZnKHYWNy47aTKPiXSELf+6RbSoBLaOG3tmzmD/WyvDLB
YbCb2pqo1b4mIBu6aoPLwDBCJ2vCFNwvPfMEE9XDr/MinOkubdTb9VrT0/x2AG2ANNSK3UgO9w0m
32LeEcaIQqdvi3mlucrQSC6UGhmErt2RTM9496JNLVcPoO0QiVBilUMDPSdHQvP0wOozm5z0To8V
0WudIqIF7FuDzPZszrIo+WbOTMyu0jP9K/yYFFBcSL4XH7kQYChkqPimn6C64t6mUG05JRDlbhnd
x3sMiOmKCjXzf88cxHPx2achyIufLXWNqvjWUBzY0zfQ8mQIUp0kIWR79ehDovFQqlYk3cY3eAFm
pCFGqm9vGxNS/dqoiMrYlHpepXclYiJ9XXetrrZY4iHi0wzvInKcMr1zK735Sno0EBiMH3t+NZ2C
wVKt9AWKOrP8Ri3hB7l1+xnqEqBkheAd1hIGAhc9T7MH0ejA5pK0hRjpVBOXBwcBuUL2CRAON8wx
YR4hqQ06Jw71l3kwi4MaJaKbkQzwOVALOXTta4UFhBNnZmNcF0Nvt3d6QoLoOmW5xDf0q8Tt6pM7
VIEQiXXoe6h/6bprexHM1aLLdYzFBHKOWEEF/E80re6QuBdWH+rDIYazFnKu6n1y9SZZ8ghDgNZ6
lgkiagBljDq4Gg96YcO49BKbBYZLEBRUkdScDec6AMye1TdHTERxtSnBzXTHNacTWoORiCOyT8dv
fjuHN8xwx5s3CM7OOn4ZM2YKZy2C0iSM43DTdM1Q7d8+K8dgbyFpGlKpa0rvuWB+T/KqjX5TJwU1
2YP2gs0brcU2Xjs2q0h5Dp0Zk1Ceq4EohCmobLqXKSmHfjsm4PBvoxmyXZ6ZNi+FRGRR23mlaz3n
ulyQ2Bp4flUxOd6P5KxD212OP9fpABljsCuIeGS/M6LWklFuiebVmlPuQ3Hc5ZVg0gDzlAdrhb1l
bqVvRMltcx7H6lDH622VGQ1Jj5B9n+AbmqhuM9dO0zuvxJ760h4z/cGRsrCCjpjm6dUTTDI20lOG
dTvpFShwPFEbE9eiD1BuVjZjABQiMXAFa8VimpPyBbem+5HCPIW7bNdtWcHgTPoKimIYzjnYvMhs
eYQDClo/ZYCSWxC0GeabJa3wmGsaearkLcPfAyCbu14Obyf+/85JfzsnBfn57vj9yRLnMimK16Zs
f9CBGIRd8FN/DUpRdHhQdYEt6cQoYjiw/9SB+O4fGFcDVnjnWeh5hvqXJY7/B144qIfhgyytm8uh
+9eg1MQSx8eLna5uEY/8w0EpyjPqte9Kd/KraIIx36dhWIwIzy4W3x2hZpz6OTag2qnQRBmrDt6l
I9ajXoQEQSGI3KSWCXF2Mvuq3o4LwXjjVK35Oo6IQGHFJgVzpqm5HCcYUOVKmXL+OM6ZZX3Qfaqr
NZq0l8gzokeo026QRI79sbes9pKY1PYGlZ4It0kpsZVGQO1eRgP/M4D26lc7IWMiG1pZnFw5zvt8
tG+zujVfxGCF04lp1OgBsBjtRS99q3g007BzLxpi3LWgy5yhy1dWbnZf5Xl4azQjs7FSW/kS97ip
Ifwkbaa1WWtmELtm9xl6wsCsqetzcZmaib3UAjjlblPe7T1Gc7kTmEZRppidhcmjHsNVi5h/QcFP
JPCq5aBxx+pP3TtWZxwaSLU7Y5RfM+ryTeImSdBoKoFMDKy/wxDkYUrN9MaRTDD3/BXzcnKh/a3b
0Uz2bWHi01tjKrJpdfE8pta48jSZDwdOCw6Kwjc3EMQgpfUeIb4AlcreQM1p7nQtsy97n3mU3nYL
P9n30e23sx9+mHPPva9cO3yo28nwDnXYmmItm8rOTlmzSFrJ1Zaf+qGOMTA23CBFxcQzqCAdEjR7
dPwyO7UVWjjoL4QrUtmEzIanaTi1XRt5gYiqeOMmUMxUEVmJtgvxMthDpEW1V4MWGe2AV90wF2vA
oz4mrFXJrTeF4d4qc+NTNZtTjnJBzA8++lMYjdHgJntLaF6GHgsL68cI42uowx1n7Cg2ZLf6TbNj
NjJpzSGO8CrALSCzE/05ambU4SneYSsbQ9xN3liBoSrrarZD2LJaSLi5X+gHsGtilUNnA0M7Q99d
DhJROzxuq1R5EDt+i9Fc28DjJ/WKCGLbGDYZkcRkTnmEdQj3IR3tNfzvQ9TVl/YSGz+jh3WT8spS
MyJhm3TzMQ+PblpsCyrTRyHi2xFH4VXNZbbRPLarvJ8+69owbxkhhNuwn+5B05sDOvJ4MzsKgnsu
tENlW+m2DZVx9DGjW6WUs5tG4AkLoSo5WkBJW7i2yUlk03zQFJ+m4WSw6MmzL1rPCpQOmRiuLJIQ
cn63Jazv9oiXrjxQlb3glJId68SKTorJxHqecwLTqmnH+CxorKrbooXh+Qi1TnJRBJESvlhVqJED
woVf7Vl9ckemrj7Th5WjtBnJQw2JHtv8Ye13U3RB5DFMngSXYUV8Q5uIZqWXiY7myw4DC8OOG357
eZKwhxFbAvQfIHh0rxDMp7VHivjW5WPbq2rhfXJAFtHc7kulDsVg3yszu0u95GLWQ+rSTgukMT8k
DtHhWuMf3Wi4a/zkQKNirD1t2kSSpx8RPOb11mOj8AKYxktJjvHKt7txW1dZu+nDGRPB0PrgmIzt
yZBu1nqevWaWVq+MYnDWwD3dfSLwiSVJPvBbp1kpxsrjlHiXVpXXK5kv+k5i6WCEUw1oHTEqsIoL
hqP9wNqqsK3kfTg76p4mELHf7b06+zK7GCdQ5PtHh+3y2NVMzAgPk1ewZuW+A1dZ81Xot1GsbnuI
y8LjpuayuBo9Sz5ny26WdqGLrZFsxKmqDOsuMZRzRFAfB7wwShp4+p9dFX/SBOoiaAXfYniU+8ht
aFFwwljhg4UrOYPLYzcl5qZhW79FwQEtbXb8Qyrdu9CpbxmDa1u2Ce9USjG4EG2d9iP7Src2ejeE
VWq28koaXR+oNm13Gi9qq5WqY6Jlx3fmOPqIqzXYDaJdWzL/3ESGETCSu57GfEuEdIyADZbtXDR3
DZGxPKEYGZMmt9JMTX690nqOreQqNWNOB0XiW6oTECbbBxRDztZArXE/pMNlJVQdICiXj9BaHu3I
Rzsm+udm9j85kXEwOhupv95VeKNnKBGMYdsM9aF05M43ZMhTVNaVoUdqN3j1l4Jc841dz81ea42H
ingkFnDKJCOPs/5kq0G7inXzrkPtkzXxByc15hXS+o0GUXrFTrtxhP9k+bAp0VcF6bKXVsK78Rpz
1yRyvBt5dfmq6slBYBv1ntIw0j9lRKSua9PlUxMWHavbX7pTv+lVeqQ7brd2rww0l9JDxVUljM39
Mg7SKfN26ILnQ1y2ezidxz4J012baUkQ+aJiVCm2HGZZMIe+u8JKzKcttDrrC/TElg2bsKmradas
2zi3BJ1wrS6zDkMzNPTlBopo/FKNjhUMRoc8HGpzMWSPutXvi7C89PuZg1X6/saAq9+Dg6rEzb8g
7d/73vRJuikqDu4H4kCZBpi+JqcevxfIJvrWikMi/SLbnq9GG2tflP2qWnd0YSc7saPtJMxp1XSR
+Tksu+oO9CgtVoLhbAWZmJ2pz83iJhJ9k8JviZ2g5VyrEhy7p9KWa4Ihqm3RVd2FERUhLA+D5qXT
klVoisdYDMvxPETrEiGC8OyrQcOuHLJGca1FVU+OIHYsUYJLkuzuCim8g9+k83HszUdrhFSNQEBE
+zCHG4EodjBRQ2Y6CQyWVU79nnPW2KDc+pKL/kaPkbW31tDeNXZxMxRC0EASJT/F3XWKq2dTm/WW
sPLyqGbno9fgaTwm6dEQkF8ALvu1Ab/6ie3VQqQ1hc9y1usNPKgacZUwNmgc4p2TodD1PPi6OWr/
IGn6z36EsXeheeIygq0E+b8dsCBovG8OoTTrjjH+yo7N7Ln03OneHfAgSDvvs5naVZB7ufvBdedk
LUJHCww3lg9FVGjwKQBPfRenVdMcsX6wlo+IFyZX5mimW8X8m++aXy+ig9nk8mtVpy8Y+MH29ov+
o9n0G41J/FWmpfZ6wksZrkql59idENRBU1xbq0qrs1Mzz+Vedp1FjVBEl2jz9ljppIFAGrNhwFHe
QY5Q2IV4cXcrlOntZ9dRH8Xs74mGHh96JC1b3U/8JPDnNLko2varSr0v7M7ZVkFZXNPDdY+J1E9O
Yfq7yq8nVF0i2aBS5YCguUbeYfZBbBvAL6KUBkwLDCfI4lIXUm/Q6bXNdJFbg79H6zGu3Vh9ySLi
7jq8APWbCqXLPRtkA2GsMzMPqi26rJ1VRPAqcivl8GpE8VkxujxFDnqVjFrwgzbU5hSUXuZBarAm
8z6PTf0FQMV5QTIZI/9t8eEIY7USwOYbcK90axA1BtfJozzO+6PbzWKVdNq6MI3rkEbF5LstMHA4
xpgG5VQeQYw2NIpxn9bBJU81HIktQsvoHsUEWNYlhVaQF/2H2p8PjjF8ZYwF378iECBnXrbpsOaF
nFIaq3m0/RWH5I63drSlhf0Nnew6KxEfjFb31LdWGxgEOGLGgGOMnZXhqsa+BCeLch9bRbWaQtTY
8NyyvQnRYIW3U38stGET1uaVjKUJTcipd1nleMjQc2iELfOm1PWhmcXbrFf1XR331k7TX7CjoWCC
D0GyavgI6pSvMoWARFjmGp4xQR52vfKIXGZ4OxUbV2GvXbDuctTASEYNfRHgVkFi9Wv4RYrtJLGR
4TooN1WPBjeNnwafuE0KfMSDPOLcrx7Hsig3+HPCDEry0+Ak05o4J0h0I6Uh3DYrI5S84kzMykNZ
Wnc+5JKdE5lfsqJ7hFVjX8Pdv21z+hSjtaftCA8yqKt2XVlTjLjari9FPfbbehbGB4ZucOuxnXkc
cSAJwDI56iaSsKVeixUSk0DGDFRXhixB1vL5MVcVjCh4WkGCV8bXtNbX+ujOtzPkzc2YYQCokQri
jF746OrZhYqRytcWrh+dKr5R/OJsEzcbXc5lEIvU4JX2UB2bGDfuLn9Ex5OsM4RZW2UV/sYiwoCi
28McRMjsMo3YXKYhzbe+ZqsrxwtftKYmXIJw2F08pOOtmqBC+o2jB5hvU/XolX+tVfKqGKfuytDK
IC8V7lAN+vzY0qYrQ/pHoXsakVOlGbh9zwDed4cLpr5fS/qNTBefDW9+jipn5+pNd0GbO/EwEKNn
8yH00n4DK22Xxd+Epwg1g/9/oTey2qu0vkErfyrGmO0xVh6GS4m2rSraW8h05s5s+52BVh+0Sp7w
HuQAldpRS71H241xxE7m59HtvoRd9FKWKeunNG+79tItw8eyn9sV7VT0JIRB9KCVHdpknoPIdC9m
3/vkVeW69v1yl3I4rozIq67C0JArUWj6hWVVt8h+p0Cg4gvaDu+TVepF2lUalgPlmbjpHNV7yDHG
mSNBhtwuJ4GCelDFuP94zaFmBT9NdfxqppjcmeEwrWLTaGp0QhnyMlRrn7NSksuSJHpO9phB6MFY
mhkFHmaKWCbUxe0ArXLfixEzNumkO5mIqA4qo9bioExRrxgD1jIj4CdNTqUeh87LADrj/kBVnR58
Ny52ll9Y22qao9Ogdc4Wnv/DVM8wqkv/2vc6eYOuVf9mJ013muME/zXTq9ERTumxK8Npa6NqerCK
Cdf82nimh5eXaWHR4Efa9TxHfdA3ZXRhgtgFHQz2SyBja6PmcdyZ5QhlqKdb6l1LbFumGphRINw1
C+zDCtPCVADkLVfM67B0idZgGwInMwLFLXIjnUqaGyPOwmsHmjBe3NOLlwPD54b77EYZT4yi9rLo
iJyo5XQgjAfa4tBfQb+jrGhiiKip/+RrGtI6z4X3mWMWJiq7oAyq5/WQ8s83/gCcSJOF/RXLNR+2
liFJURmNgBmK3Mallh2oGw9uXsDUzvJ+u3h5b9jNJ169XWwy3GAlGTs0U95dJwWmPG4G4mKO8nOP
cRuVtKWllxzVnEKImaurqfFPRA14q4ogpLURuvaK7NtAAHljGmSokzs12spBG7NH/K0HNaKyFUxC
DVME1R6b0vym5u6SOMsaB434kzEnVzq7+2acI5R4Na+xTNHV+6mx0bNsQGAicH4qk3adwuc+DZa8
SQzIjWmZX0aO+6H0/GZHfa0I52D543mxLXRtRwp2v85am16GmJ9tlzJREBA3IT62r3NZwSRsLyfw
e5yLQhDuRbKu6LMMswhygVnS0CKpCjPgGrMJ4BazK9tauMfSHz54WmFzNE5HvCLCoFuyBbSuZY8k
kwlxa//Su/IlcW2S7dQNTprjIUESvaaFPLFFf8Anv9ha3bih1WIlg/IHbd/gb4rP3hVxu8bOGwdg
lJlDF8wX1rZ+N0lx8GS3mXtMJJXSC0ydEE99VJYANhmGwduinn1g77wzpmjijvp2kzoDnZc3BFFN
O9gKDb/0atWBCKz1MBmOMW40K9sqXoq29G9lJHiRnr1DWxivYRzOjzAqbtzZb4mQQFJpNtq2bWx3
ZdW1xOO/tMUaB7BpRYMjH/IwfvV0ddXMqC095xnDAVDx51bPd13rfav7qaLNTdDO67MMmtxfK1kE
OjZ561n136qWeKxMpE+xEvFGLdB/g99uamBWl83e4lwp/WhdFGABsT5TtsiQVAt5U8ds0EHT1c4Y
VJrlXuPiYRwFNT3WJhGpqUNPU94rVMtNx0kO4T2H/1mpTdGMRb2OW5e5voOyVD/Vmh04SCMpxNKs
24LiwMDJOnuVzrqrOKEn1V0wUa53VmNk/gqJRH1IMsUAhF2tXTE7rO2c0hgj0dVIRd4+CNw2Ghz+
YHtua5EONeYVMVCbQ4+A+aQyumQrLV9XxqrgGdlhBebQiUm76JDAvDSY16TtBZYIDYjF27j5fxqv
372WV8/5a/Pvyz/8heKCfS5u/+PHPzZvf45eywX9/uEPm7P10W33Wk93rw0mZf/x72+mxMvf/K/+
zz8NlH6HxIMq/xKJv3od/u3ydUy+lN9bMmERsvzYn1A8hIU/oFcyJPYXpsT3UDxGS3+QMOdoQPdv
eqZ/WTK5/BAAvu9BLYSHasFC+MuSSf8D51cSmrDHdkHOIXb99Qj+1N3w9P5Tn2b7HbEC03YujyEU
OhwdLdR7s20lrYw5aiEvahbP9EzIPUEWBfaI1kaLAf38lTnUg5wIlSubXBxKI6YeDHxo43tm0toO
Acz0tTajju9dq+xglFM/n8bCcV9xlXHXCQSuelaE7UZAkfR22TBZ9wJqjIeavu/ohpuvmVvUjPEm
sFZ7A29fxlRhiWjdW8w1e8D/ymlBBu/NAgA5cBYY6DNDqSyZkG6LZbLH+VTkx8QTQzB6rlgZfU4A
ckp9YqdjfOH0haq8+9jAxw64VYNhyZnAjgidXRYIwR+w8XP0jSfxFEAWrLDI7XZF1XsGloJazqQi
YdjPnqmpL7Fo6q2rqunGNrIC5cg0SH6U1NH5iXAIN7k8z3f+pz8tBHR12ZTf2h8/pvNq+NeX9v/T
B8gZ98sP8DJp+Crq5IfP7+2H/jUJwz7MR9W0yAWhMP01BrP/cEm0edP8/WWEZml/OIAxzjKYghTN
ofKvr85ZvmIDHzQSUhFq/7NMCPLh38+/YM4uDELaYVjR5DT8yGeqdQdRuoqQJdkabV6WRU7friwU
L5yAjtV/1vDLREWEj0BCgv3VMrJaKQ81TlD4ndzobqLdS7yhpk1tjOl1jKtDunIEMgnfrXejn5jH
tsDnMu+TSq1tD3Lcqgx9iyoM9dd2iu34hD1UeaFFzOpWpZFdVHGd3ril6e3wc4h3oRu6OyvNaJ6j
XITrBr+x3ZzE9YHZnHPZNUutMzcxvswd5JMVrhvGacrwbEk69OOBmxsyGBGuBGbc9TuJfzRulGV4
R86cNaDWGsZDp72k6Vw+A855l3NqYmfNkKOljYPbMTCQ26ao/K8HjNxghTg++XdxWGoH0Cdrn9aG
+DKUtfrmVol/bcrCO5RhXr9GoxGqIM4r/SaJq27XmmZ9Z2HTdpSpq0EDwWU7D0xpvEqtBCeyF2fs
rDJBMxBoXUVaEZ2aahZfCieqMW2pSogMuJYfpuT/sXdeS45baZd9lXkBKM7Bgb0l6JlMX2nqBpHK
qoIHDrx5+lko/epRV8+op+/7ohXRITFJgjCf2Xvt+m3wp/oxHVfTUuwNX2LddU++3000+sbS/L66
wd54Nmc+exg6P8eBUcVA2UeI6JVIRRH8bExImqRv+plL/yybjxqlSx+Y1vgKvZzari/z3/Ok647+
knR7STTo5yL6/AZ08p2xRPY5azq89uGyXHQI8KO03XbvTt5KA6b7Bwo392bDjxplb8yeGGtzlHr+
GuCEvdmq/IIlO4RsWjh80cmn1JVhfyMT2zimtogPADlWmp4Vv2ZdEhM1WmpFIz3B0SGkOpWM41D5
MblWGfYfTkAWRxbUFstfWlKkhco2s8SnGS/IJPKIVVkwtmW8zUFHoTfwp/FHkpo9Ddy0SiHLHDmJ
TuPyPsHVtrFoym+iplq2NtBLIFJecdWdkd6YLIJhuxYj02Gm21SLdqWjl9BdTGDsfWT9DpDJ0htK
arrvnHlEhVlrjQxDeULrRTfklfIWT4//EIVzHIyesdNxwXhtHrZOY98muT98lq7KTqJhiDumrM62
Q9vPTMzi6bIs7FxQbHQlpKg0fDMKJ4K+X5t1uvNLV35jGt/28GrG/nFYRlqRYc7ke+fnIa1VWfcA
YMv6a4NIKfD1KD8yRq40jnM3P7Z4hLyjRYsM7cTzCUM25xZqGNTzTdjFcbLpAZa/qEHElxqn6O+0
3aRwSgQdUeA2S06IeOl9TV3hXjN7msUJsZP/vLArYILOypfNNBsDqKxRW+09GGEfSHL8Lyzgfjeg
vW4d3air7J35u60bFs2tlFUJWjAs39KIQh/efEp9y2S6ee9cBi0whVJ98sKq2zJeZvPdQZ26ic2J
yVHXPCDB9SEFJlzP1MIwvrzGgtaql4DGFdLAsEbVW1C0LfZQu4XE7zPMCPdsi5ZnqopZLjTsl6Cg
9dzWGEi6geGTtz3kVvJoDoZ9qBKRTVvD70KoX24j3k2CDdlJc0cdTKHnABRgkh6gpuanaFb1LSNp
dGkkTHWPjZdYHFi3SF/heYFNrSX7Ju5oYX8Ko4nlD7WE/jq4M/YfCwHosRYYZlC3zu2dBUXys7Jd
Vm6tTId7AFsGN5cl9jew3mC9ENkw7A0vrr864zx+B/U+vs9WKa+qTULgC2MLkk3ZcxMGfqjqu3j2
w2zrmRrcczwSzWsaoxlIoZ+irNVbEnVH1i0N2D+MYFundM+WnrvtQIzmgx+3+XaIkvCUZtw2K2nV
h0kUz1Fp94e2GYECoxlmgtjg9cJPCF/eh/G1w8SxfFvw+hW7QTo10ZR9wdYoHnDyCi+9m4TMh/5i
5bVDkLPVjDp5XYyIKcPsWmUm3rwZ+JTJuFTJrnvr0WOkd+EUUnwRCnQnU7yWi8ybR6fIxSN47uie
2+KEiyNbTiCIX+gWy8ca3e9jL9sQEnaSrihAB6wYmjXGtW5JX4kW8MUrnbUfH7msvETD8u5B7VAe
1/s2KuygSzILmSUrTSZdLCLYcnPb5pEXTMWc3Pam37MScOuUtrMoblNf8HGdjCjaFhAKCHpDc6lD
hNnIpnVusPI6dyzJzattlyGzlKULnyyvcU5pko3PdFQeajsiY76rxZjvSoPi99AZdYVIcg5v/Urr
J/a+LtyTXHyyHltO49zYcCDrfj+F9fI1g+BNan1tLMdI5jNN28xgE/XEru7CHrekzf2oT+RyITTO
PcUJGffFmN7XeY/9sjbVXUhEkMVNNgsfxyVcd4cmq80qqmDQWy7XWl/dRzhsD+vxfG6qSd746dIc
uV24h7RujLssGwbGSuaIwMUHdRx2GJGTiRnJpqknoAS26ObzzG74gdCK8QAk0D8Nsm9fmrAq7gdp
D0euJ2dGmlE1jIldtnntGGHGJNtKbJHQxMyUlF8/jEoUCBlS5Qd4f+UuthNxTOvcumPeExIv4E+n
lgcjkjri1krf+xRV4n/KVpnVBpRR/ZYwWP8qxjA7tZWhDyi/DY91IrcaTr+Yh7SVKztQQrj7ZEgz
IKbV+FW77rjNyBEGi554d+YMo6+L15smljACJBagqcuuaUyzeipn/w3/NR7YIYaGgtex7mUgSrDm
rPdG/z2Bg/aEDLqt752mTdoj3VvNktJxMhujN+zVG9NhqsoKR5YColcXJ3pVzXDkK3OZn5o62k5w
eee9ih13r33HDWIMu2GQRuPDIk2UCF1D8NOx74z4zdbKTj5MGheCCsyMkINmRF9CA+Wsw4CrlNM0
oDaIskT0Z05Zs2E3O5T0Yx91uLxT+06viCfKz3SYzBcfZc6zrCN9xsz+XJfuvCtUXZwIl9CB2w+I
Vqvp0cmXd26AP6wk/kg7593tx/53Gj8qCKtBLdXa/btLcPnRcb38vpb5brQK44YfB/Bqo7NTiTT3
h1psoGWdrtdwEHZieFT7JD821dw9KHuE5s9CjQGxblgNPntO3xBeYS4P8UK9wxZ4tAtj898W6uck
5N/PMFZMyf+burLOMM7fm/b7/E9NFP4tXvY/TZSrfvOF6aw5Q0SB/lT//dlHQZzmmY73htZobZjo
sP5UEzKn4J6OGsAGSvnPIwzvN0A8OEL5N0wfBLanX0YWfzfCYCzyz80UHikbfwP0F5jXLl6wX+wH
Zg1TQjGOO/qDAX2tbFS3mxHdZxd4HfZlEk09PEV2G54r8ID9aYCi9BBrYygOpMVh64a2xyYZTSJM
jrBXSD4aYA6aVKAIOU7ywLZaMBcu8U37dRos3CRvo0zGaksjEj5PZmm/OeXwkVOdQnArnoc6tJ+6
rFoe2sZ/pkZlZF7qzNpUTh4Cm5UopaD1Ltd+tIja9lJPIjiBjNrpTrz5cJBhKhiJ+ViWY3ZuG+av
VeERraB54ei4xg4Bw3RbTBXTV0PC1FzI5y1YspFi1rDHI5FhGjdDsTSkQaSUKQTH6w81sMlfxtYP
FqtNmRFyoH765NYMV35/oqqMllePcmhOdtYs3oGprl8FadGfFob0AZpFXtjaI62GWa4jb6fwC/91
SBdCJMrcE29u0S1XRw9+YANTPhZUGUfqneY0GD3vLr1xhPjPBLNNOh9IBWXHBmBYw54zSUzuGK0i
VDb1+lWMHxnvfa/sJ9rbgiVhr+RN47W+OIy2zF/mLGeTMgDAe2uKFdCSTYK/lhfxdOfp3PixkLQa
TKoOz1k8xd+MvMX/Tk9++Pn52vVTcWY36GT458lkxl9uyoKsVteh9tiLpi8P1DUDq3C9oBjlIFO4
dTv4MSTtul1iQhWjZCZkqSOo5QY1ehzDhoDkfHTaDpxjTFhPclCLYvSchixsS6PKzotVnYbG6sBD
pEO/75IIKSKaQ2cv9eyxyc6shcdAwbmAlOKc9m275d0REbStnVDrog4FcJK/NDBanmLK9bdax+0N
MD3/OcV0tme/1jhbfKfqTBkYXcKaZg5QMDJvCDEXQ/Nje07KeoRig1RBxCJButjGzl5MEmpx/1qb
zK6RaqBHdFZZFE+GcgQdaLX+IQep/WN00GcFYVMUFZQBDNBbslYS8stT0cW3WV7xt/w+13sHGDXV
rKUGfmHgJJWb7gjDaB/Dwp+vyTJmgYKHs106EV4LB2gS6KTRO8jOl3sSMtRL3nvZofDwEfD4WwUE
E6G83iGTon3qKuvN7nI2rfD8yPqa0xXVOMabFAkCJAZYDUUULl3QSsfZJ96C9M81ddCLrDxHIemg
PJ68hhVeXt1DZS0eWkM5+3Gei3s7scBnRkxBWUcRscSMfhV4dDsyZZdzbNVZvsnMEbx4bqsvE6Ol
jV3MiCZAC3Gh0tVvLPz1QWnix8UWEmb7EqfUzqw6lvIiTJegH1sDWYMiPUP5FN2eyi6lMdr3nR0h
3YkHIqaE24p+QzUZApA0fOsmx9XQb8dJuG8DLfYVpG70OTdpSnIAZJ6Zn37RfrYt8TGNbOYrhDFz
ikUlELzmYwGoRGpW2iCOiqqifqrZYaQMXGS86+MB0amRlcuXyZ7Fbknr+HZQusE+rCtgM/Z8MGsm
0zs1GxVS1UgLY0fulYSilnfs8SA0oDUp2VSP3Cjkpgeyux0cZ76MpOs+xCBDXn2+v8IAsUwp7OTK
bbfOEgGtDRF3GrOzWieIIUGmuvo5NqLu+wDBcYXfqNQNqSlm/Oy4cJODKWfVYzZFegGvSWUxNFBP
SdxChaQc3QaNP0yHWERlMM7FB46eetcks8mgqHZvq7k3nrOMbeamN0mF88cpZalf5h2Vm7c09ziT
KKpK7MsVPOEHqjHuSi0pI+8/7yzAncMfUD+zc15xhcKLkoyT1qtIO9y0Jrqfl2YkstsxGDTRk7IX
37gzT5gG7vRhirg9g643LS6H0XykouaNuriZtqVJtQwQK1uuowAWBMjV8MtbHtvzLVqEat5WFbHf
TIqWa4NF7g/v/X8nzv+uXJK2+LcTZ4bOida/Dp3X1/05dIY4R13DWod4DnvlQ/yfuTPEOQsJ/V8r
JUXR9OdyR/wGiA6YBL3mWiLZ/9FyB0/Hr5URxRlRAawuFOmXwuaD/NU2iwOgtjPdZqcirZarG2XL
3jBb9iVLAePAJg3o2NXEP2xApKE9kPVMjTJUJlFnyAe/0ArUaJCi1sQokTmsaHw54yXLQhznzI2y
rTsb+FtJ1yAOqU2TfrmECSc461DNDQLu2tXnMj3yKdlrzzFVyO1A6sV3N/UwJ9ZJsuybWPkA1pgp
P0LjcoOGULYDRQIeMJfPq1U8H1wMzefKXlMHnHIqb/iYPKlDxpIfyi+XPVAQbnY9LrAZRgw7/thC
RgXgX0d980SST2+cPYQ1ElkQYI1vQ6QibvG+i6BJDGGU7Ioe+irqgtiw32PhzxW0N5RW8aXqFH7L
zYiMabyvTXd97kfeGN0uvgEHucpmGT2OkXCw9WZFbW2SqBAs0Ft2VFsjFso+0XPzX0Yy9t23qcl0
eWByh4mZ/Fx748yM3YNQtlDE5OgtygskOGBCIDeFE7KQAPgX/V6APr5jFlXtKrHk9NLuXGtyJmvv
bQGizg0YtPgOl6F76J1l2/H/VsNl82mn9XDrohRqg0xE6phja0V6ZVbbMQyHt4bxkefnh6IpxJWB
He49f6+bwUuDAcDBpUEIUlu1vq9BanHCaIKBuj6puEn74cPgzIShaDt7A8dMXF9exqQT9tU6kLG/
G+WUPmKcnjY1M/Nt6Rv+PoZ+feo8X72nNmrZEWPaNnGb8pT4ZXe2wvyIwzh/jPM0exgm6Ecb14hc
yN31wZCjg+ajZKw5P7MvHJqN4fvt7zb5Uo9FFrvbCWHkKYscplhjV1zAJLS7FpZZAAUvRwQF6r82
ZHwgT8L/dKIM2XkTNuk9mRT1R8RAQ6L7mAUBDh6agC6VxrmEocScE0j8A3EI82Gs6+VFmflzamjz
neE+8TSmlX0mpiNfHI+LyhqVtUfFAfUWNSO+hKk4NWr8Hoat97EgGN/5uiJ0aYij7gNV9y5dcBHK
eKTe0uNlsGL7juyJfK+GBUK6E4WAU/EfnohFca5h5cr3yey9W0mBilJn7E5+muWn0prZOADJe26B
Kt6p0a6OmSrUZYQbeAusjEo80vaD1jGZyoNO36BDp+/8ovlhmnp16eHlH8lE0bdEvILKjjomE2ET
ueekUct9bXcDWjbKBqBkDBND7bkISTr8hQaE6z0ZksmVME314C/CSVGRcNnnU8M0UHtJcmaVou4A
arc3Q6OS16kV07BR8yiuOhuSaxdn9XOf9eMTnHJNXnBU7owp8d8Z86cvzeB0l86ufGOHPyE9i4WJ
/14WMRWa8MOTXqbx0C0iworte3vaPfuHPTT1AR/5/DqlZraN/DUGURenzg6v0ObKbdjHdDo/XUtl
dDJ9fZltMaNkV+iRrP5bX444Q7MyPwoAB5vSRiQnZTscmqR092Yspu0yOfXvOrT7i6jHZJ8T3hY4
pTU+pBVqwzjz5mPV9OoBEsv81lfJ8gk0cnjggIR3E+bfV4ZrMhissdhynXRbUoXS4wjw86Ct1KnJ
kKmyLzrBU8vPztVijPXedzP9TRkYTRavQDQ6hULtJoclQV003b0rgWIwsZodDClUG15rmz8Wk1X+
hhywnlMZ/Ro602c9ZcM1Dot7jTz81mRX9GZ6XP+L7df7idpuYIuUiKuTZOLqd5l/a2CYepinoedB
0c5AO+FuHwj8uMvrXhM0yIUKESgC046uvwjCsUOrhPP6rCuUZACgkoCDUV77GoWuq7jVsEoAt4nP
1Kwt+eTMeJoC0Rlh0NbO/AnucEIiaKxhOXSd6bGd2/p3DGJ4qdLszLMEvkxdmV9TlJKnvLUBetBg
PMsmbR8jt3NvsdujX+4hAWz6Oau/tGXvo/B3l+uAHuhDVz3OPCnHxzwhNxH/VevelOM4f6OyTVk0
RbV9LEt7PBtRMRxCUjlvB5q6s5mbK2Ktrl9G226JJmQVOlu4e1UyxQ882cjB8fsKcnnp/pjxd+Nv
6VrYln70DdFpugMJiHy60/ux8nqyH1oiFaTo0HfzOQPfILPTk1lKDmqbDx+6QJoMzBKUaOAsBrZc
Oo+XsC+ZCrjg8Dy7SED30839KC0s58To1q9eBDx7Z1VR8buKIu9QEtV27WXoXQavNDb5RO0ZE8vp
95lJiK3J8w0RdZffdpbw71KvaK+ZpNXtvRY/QGV017DDWpxaGRaF3EVAOJT9q2dhZTE1AxIcWwbW
yFaN/QMbJu9mAeT+nXY871nNJTyufY7xJR874zmObee9TipuPRmeGqRORlquN23NWmgJw10nvOpu
HbjcJtjmuC0N8zYjtY8Q2dD2WOigi+acGJn2mL4BelUyIJ8q1/vIIALtRaI+rL6trgY7kCcP/8FG
ikndjJ1Pdl00myxs8GtGYXldf0Bga0oelq5nEVcmWz+tzWvPxOEUmYxkmris7qvIVF9crxt2MMRR
7teVfTAclCMbgCxIP3g4on9sSSJWGvqqaB9cO7I+qeWJz5OdXrb9OPhPJENhBalbcy+wkD/btDsW
EkFt3WdhHcYbc5j8hzwq3QOkjioYhbrxwmbkZy8sgXkVVbxF3obfmd4Oi3/9Pe4T8jGMGfV/2NXu
Eb+RJkKwJTA1nNt7veT6Pps1UZyxaR4nheZzsXHUjCOz1kMoG/eVWsB8nug9Z+CZyv3hFUb/XlSe
vQ8z/WbXubtjpfXAPKFN+X6io+4YWYeZ3PKiTdql8XnUjXFy6FmYn6GUJ6oDaMNnohtCRNh3jWez
n7asasfLjHKYU9NCxZZm9n1IbbqXCQ9r1jFWipmwcVnS1Av1BwZUAt+ivt62dfNSiqa4A4NqMXHA
IXTgeVfuB6vPEGYySzIS6R6JO/XuXOlOPBXc5J0CzUHkn9KO13N47HUaYhzMSC52ZSOzk51HMuDM
hsVYaayhjTWlBPeSobSDgQAkEoXdo9OswZ6LGk+OmEFIZjWetBw2DCeH76JmX2LUCpl5yAS3Feak
FNMTlSrzb1OMT4PIoy8iq/IvFvmoewuPKCEpYV3f6azzL0vmUK1EdngSrmaBGsF+xt7Kth6x/xCe
kn5AoAvBMj2nHa5aVh6SRNYkYj2M3C9qv6sidVviMjIARrhDVe3dMPPMGJB4zdnOMeyxEFBXdPHz
rV+jvfezhMCeqJ7OcTkuu4jC/23B2JBaznPkJOO2N5NbcE6Sb2mdi8yVXxO4L2soZx7UIQ7WjVs4
bwRxmafZcAknGZmD1r1BnolaPshWQq1qPHgaDbcfDw47fxlv2hpDTtWV40EokpszIi4nWoRLksuC
VJ7oCz+L2vcznlHEif1WkVy2MfLkjpGRura29S5bfGhsPJiD0LFvs8xDPVDkHBi2M4z8UIRiidcb
IA2MdWICOMueMRgZLGd8JixYLfNFNVBCifGpikA4ZbOX4O2CxZgAGGe9WsOHkV1aBRtKhqfE5BC9
ZJgTWnN8qIXvkTNsu3eTgyBCOyWIC06/D6N1dyCTw+eia52jJnz2jGdBXOOC2DzGWBaThIbHXBsn
p0S70C7bbgmAGdnBbPXEFFdddFuCLt77yFLubMGXS718lyyEozu1btC7aaa+fxny/1/427/oj1ZK
uonPFqsWuHKP/vCfG8M4RDHK1Cs5pUVLW2eg0zkz7uUubSPzebJEWX9qaqmSR7bItn//5vS3fzX/
/3xzRFYorDzkjz+x8H/tSjHvY35ZdHKSU9V8LmlT3ugkj+/YcmePf/9Wv8gb17ci5oL/rd0v4sFf
vmeC+d2Bi81babMud1wjc06ISlR9//v3WaVhv34nZbmWT9MvPAaJvwi6mMjMmI/d6NRrrAJw26yT
00/mLi+T7p50R/Aggx9jhJyt4kOTSk0Y1hLFd0YYr801Vqpy9/cf6V9/4hWuYLGCYSOCR/2X3r8X
nRd3dBkAYxgSiaKZDypd8eHkboNHImur+Zz6gd9ZNuH553v/d370b+dHBEb/5Wf6V3hHVXYf5S/o
jp+v+Yde2PpNmMrBPMGCjEAD9Y/ZEcrE3wTLLoFkWAruufyify7bUBILwb+C+4aXjiv6HyMly2IP
Z6EvRtEI5NKx5H+ybLPUL3kagngFR3LVsgn0VhTpesX9hdyhsVSYIdqpO1ez6UZlX+BcgXVmB3bt
ZPPRJRmzxCMRxSl7X6WvkZkbQY4K/FsbYhpnelIwfQexXk+neKmxR1B2O59LY4JMKBOPKOZCzzcV
hqj8NVms+qZqF/EtVdHEGJ4MyX4jWKDNq+ZoUIfEcKovYAVc8Be1PwzniSDI8dpwh97FgJXo3rHw
gIxwsqvmNhEQJdZtMKnciH7WxHBqL8I5UC7mFln/VwTJULMx25ysYaIdnFnNfYd+h26f6CVr73tc
sDsmT7hBLCdOrkQIjieKXPdoND1Lrqogh4kWcXoYauNgpr25rUz/dSwndYiNvMPrF1Xrp8LQ+zrZ
bN9VrzAbwzePfckoYHXVkhM7ZpLY5r7KU5o8AHM2dWTJrYIip2l5aIXYCBhxY3/biKVH6Wgm9tlK
l/a+1WPqXEbp2p8ckfmStX4aNs8LmeUnaOQtaXNuE03ZLm3kBuq7M+lD4+k435mTOV4rJOGJla82
I7Sw5R5PeDHIYLTiuFPHlA4HyB3Oez307oXhE+zlJZCIxUgVHOOsT1HU+FED/vkkC/zxAzU/GTsO
uCAUnN5P/pbr6q02eaoPymTz2RJtgKPRmL4hotPpDx9j6485FHQ8t2bZ2oV8crGJ7tFXrKA0EF3u
GwnUuHLrwh9uRiqCs4PDmgPVZGGMla9PTwl2L7VrckLXZdXsRMIWNIyz8a6dcXiLJEk5LfG7bWdS
X4g9kPLspVm1i1gr7Amez8jtjO8IKp0eO6e3EkycublNfPqBIK+76Ox5qODYanG0AzP1wiNTIha1
uZrtU8HSeU+J3X5Ups4/za6Wigd862BPq9fhkhd6uDK7tAEr0fry3CpWbZYiRytFsiaPVtl/jVOL
eN0FST6hWCmzwsrS0deoscSFHMxiD5vGOAzKgm3C210Z7ekDK4jpoSQgd7U3IuKyZOjiDPHYRGWm
yC4rVgB3EONJRGVOeRpGgeqxC1P0R11u3cCCW86InrD3pIKmq0cIwqaaCSs++T6Pbp0YIfC2t5wb
6MCEMUxZ+BUJjr9nH0kgXaqsXVazWeulq7/AqLu1S9d+WM/sO4acYusKBQelltclRb+JRqYLPKVt
2mnMfBwBLX5UchZ3lZ1Fb5FOoHvXFkB49njHNseHMydOdEjTITtABw43OPXbb+YIf087jf8UWaTG
O8SR3HiZ+7KY4q5UKZQZ/OM3xFzaVBo1Ite0HV/tulq3hNk0QhNQ5juGAeY8PdERPJtzoR4d0+rJ
IG3VD8P1cPx2HI19tqTdqe/yTwicPhgexnpbo59rf5MNjvWk1zh2jOpD9Wl5c/SMHzkSDM8b+3cM
tqTGs8Hlb2jjxEwOfj0hKJu6H/LTKPDdZxMEGC9NCWgcoNmpMvKOk+2Em1GzhNr0Dk489oKSE73v
kov04/6ZHhOzE8fnmRw9Yv5SPOnmfOOPKLPtLPSPhhtrj+K4ds9eYwCD963c+zY5ZXzv515yHMKq
/Iae3N/mAqXRRkP3cnZzZQmmRfIUOuljVzTeCRjTtM04u5+kQVI0XeBsMj5QYTB22LsEsmDCswG+
kLKX3KbQWTcMWNTXKo/GTRH38J1GaaVb8Nz2u+2N/lZJvTxWiNXZyDbjKz5f6k+VVmvYHcLiwZ0+
jYmM7MFU3Y8I7yiNQ73sqjxuYRWa6s2Er3K3SNTfw+Qt93NpV3uZg3gy8QpeQmMUT/R6S8ZAqcnq
fVW10a6tavEBwa7ZWlNfPaYWW0wIEzFEprQ3NhYN0Q8MhOJYDqX7rhDgGduFU2u3cMsJ4m4enA3R
5OO2rLjzeyMqY9cbnKtZL1HAFano8qT5JaqZKHqjHZ8rv9H3tcRD2NUC3eXsx/P3ZG66JxvoRhrU
iAa2rZhzRIUSS3U4kaghJf3V0sxzH8D2+14UQFEol7Hj2GZ1ZR2fBoaqmxsiQsaHHEEIgyP/Wg+m
nbBhTOLwpBwju5KcWW/ZXadf83Ywn9M211dXe/OTGGXLbIxl+qPlTyjzPaZ11RQmTGNCawyGOBF3
zaCz14K5zWvklc09DtPwRWdhcuknEgtithVfZGPNu1hU6WHGcbYL565m0FiS9mDxbRnK0AZ3pzJf
2GFGbv/FsgTD78Rqy63BUChwbKvaIWcW9zUbELVzkROfy9HAdVBk43yxkepnQdJIk6wXS3Ecu/HN
mrCK2gMcG7gtdO6gWJazTKTzafL3jaAKy+QebPiIAU/4r/NiA0+xFh70XomOftNGbbJnsOncuGz6
nkN3aKKNAVgWv1CILnjrkZNKqjBxt9oiN+G/xfH/nxbNkVSTf6NFq5ou/l/BR1PlyS81MgUnL/1T
j2b/ZtlsR3GN23ToOHv+USN7VLvmSrwTAOPW7pZC+H9qZOX8hrJH0nN6Qpm8jFf9uXZVv/GfkhIG
987+o+j+DwRprviXBldy81E+7SaJewKDzz/XyO56G0fJmR6ZwoCklv66nVpanrxwihp/2nWDFhV0
NTeGYYHH1jqhEPFxei9s9ANzxDe6R1FTZLvKrqL6aOSVhOmiyVQSRJ+q9luR2N7NHBKlwABB3lZ2
bp06q8eDO5ukRcGqUOjcJHDMMc3B8WY5I40Cs/8NIVbVe9l6+l2LBXAkQCdiZsZSejcyNq0PNmuk
OforcasqI8fZ9JXp6YOZu3Gza7M1uPEPJmmWJvO9WXf+C7Is3nhECIJ8s/Wmxwgkx0uRyOmxwQV9
CrM1pl7pyYUUSoByxS63qTxsyaRbtp6Q8JMKCJs/g8dkuYYhgp6Y7mdgJKSv9z5fQwP3YtRsRqCU
pZLPq63xw125pVVl9Ec1xOrLMnrTfanA7bZKUCjilpW3kblmp9Fyhy9/BBkhgF0rRT+F46Yp0b6l
zRoX/0c4DzfIdxVyn95MquE/IwCwuhSVbX/MEa/b9BEfwJYjn3aEjnIvFGFdaRgzUuoJUF+QS018
a2tFQHuZgs6bCr67n9skCvWjUMQUA+koifm4VRmeFsZ8ctOMCbCXMBlOqoJQS4AZr3F/BjvgxycL
qJjI19xyXnOE//hBSYkE4Ivq338x+/UXHmYCz/hJ2/bNgQM/3YxMIuR2gjdbbNkjZMmDUZh8hQr/
N0rrIeafXpuDkbXznkOO2YXP+AftFY+mYVM1EVF2qLsCqbfOili8ImsCWZoXC0qsYVx+xOEaySSG
0n+Z8/GxW1p7P7M0tQJ4heD/kLE8sLxHTAbNxAhA7JC7aHECrst4ztqCEz0D0hLuWdXzl5ZwjQl3
45DPFq8nUScUMW4/Y8/cbuBsYAzNL+urjoy3n1lnQMN760oUzhqVErWcfIYJ6DQccKpuYN523xjb
4ItgcE2yEgvccYvenB+40iAqga5ELSK4VDMoLEEFJEHmIwjaDZyiPIa5LG8qtNrWEVKiOhkptQjV
guJzJ0sPr7nAoQYRCrITOKqCMyZEIv9tmlYHW8myBo/rep7M/qTf+/Un8hQ2/MJmR+TJlj/GYzI5
+Ggld0wuSYkbBn+nLanfoR2ELz9P4cQg5mvO2upSrRf7+hR/Dx1i6kZ6xz4YzWi+/0lhR0YNbzuG
Rrtfs1/YVPscyA66qwp07nHC9My3Lzkqcc6A9ZJAn5cc8Ixx8MBA8WMLbhxYXet38FvNsbY1AFin
d+SzhZ3pxQBbzEaX/GvkjHVU4AlyuTidCqb4YpJyn8f2OGyIHuPrCFjDfyTG1fgiuB6E4AQzFOmC
bQbyCr6OJZ8Hs+NbQ1omLZaRIalClU96e+7fLPUazdn9jFCpwMjBOmIZCBjFbWN1j7ABV5fR0Dwi
n1r8rQDEfoTwK1BipP6NTR7jVlEFNwzkM76vmhoSjJd27uMdnDWuMHRja86X4o5VmDQDj3M7MbBI
Ca5I5hrZJg3BY+Zze/bKjKCxQub8HUz41gn3BEiPjtWJEKF87mzdcwTBIj5qTnQsfiy03zNy04++
bKMDBi7S59Zsr//N3pk0x21s2/qvvLhzOJDoMXiT6lhV7EtFUtQEQZk2+iYBZKL59e8DZZ8rUudK
z3GnZ2DH8ZHIqkIBmTv3XutbHgboCPtV1s6fOtDtzn5ULJH2zAce85w7ygjxW2wKsFvnyASycIxr
H7amTWJyciyjDMyGOacXyrEAD+uBb6lIF9x/SrjIVpAGYZOV63CDAyTna207AghNHA/gUSohzlJN
RLq5jKQ3eQu4bFUyDWcK0xHa+xYBNDDNI9SbM9pNiujgXJaC95OVzWKOCJc7B05PPdFsaPn1Vhx1
r3HO0SZNXO5u5qln2hLhI+QikV06FNp7zoJYdd7ueceiLmTIy2eG07Pc/wrP7Y1KNfB22jp8TnPZ
RvQgZE8LBfc247yO9a3t+mCDGHS5H8MJKnMjg/AR7QFf5LclLetEWm5g93MruVHQqkMWdHg0JBP2
dtsglL5zPJ6uosjDDOEll5fU6N3bE1fqwHkcKijX61G6bbJ7W1nJKhIes7hAPooUWMvjEBMD9uS+
xRcWzrJKCU16hJP07ku4pBtlSpb3IlEWeW7VK57B8NA2zbIZML1jc0ZrxMyQmcjNMLssZAX1g1oH
6IvFakyQxyT4VJJpz/Jjl8NGxPAuErJ5K7SPXj2Hl2XV9QwK/WgkhbBLw+J+zgqMrClS6DWzsPiR
rRTefI8Q9Qhhl6cmVyNrLc8kgAqWmJpsAsvN1hwfvNe6Kh/rWLTHMBqVOawmSl/qELs9Ww522nDZ
iEAhFmeiKhuIeSq4E5VvRjy72kZpgVZUCtHfuCZxivAaYuiwcfKQ+tJlqlxFX2RvbQ2rllcdRu11
2/tr00ewMqxUKZYc7b6fDl2iGoCKYVtGSwZmvcZQ+4Rbctc0JHIbKNPvGkdDt/RPkbXEdk9e0RhL
FCASqQPtnZJVlUaY7XgIX22TnltjYqXDTDvDvuw4MiPEcbI1Tt5yL7DBJBxBGviOTm7v8srS4DeQ
omErGyCIJTmAN3+YNNTNBuDL5MGG2ofclu06hvsxcvmT8LK3nfk2GHv/2GUh21w6ysU/1aBaHcQD
jjvmzxyFbtM5D46+FXH3CuIgvSSgyRRkDTrVZiQZJffVJXgt89onfdVedYY7vhROnT1MfvkAS1wW
V4XsnHuZQ/M0+m4I1s7chrtA2/rPbmrDr0mAwqAbmGzO3GRbCdxwE6ACBlyYhXtTE1w/jT0cvKCh
OeE4WMUVtPvroE2y6Zrr5b1CNa92sxoi9vHUJCJ1eAgXaHGOOuvCj4YvOhqXhGr/K6PD6ZS4U7UR
oM12du7jlejd9r5jpED5U3lbdyzH3+l8ng1sp/QJuu46SJP5HhWbu659Ve7IBHQuolD7VwjRnW0s
u7MMFZ3k1qMy2nalrK9hwbNEgRBbw0hutjF1w1GVrThauC+RFNbdIQ+Vc1XbzPK5aBVab4nq1kNq
P0oZbA2Qe9B/PAPqa5nfOfj/SAA7GnMubtkEMK45wHOIA/AOBfbS+xiil13Z1d4C8HARLDuEPQF/
HWM4qegoGWOScfPccUDfZJiXaGG59yqF8IpQzTzlmBau6qnoH+ijGldT2XCiNwKfnxuoXb/2ugip
SyxrPvZjJRkr9vXnbJn/IfTBp8/9beVnq42CvT/Yxo2JShDwv/CRPjg75UNmIxWzpFPk+y9GXn4e
jUV/LqAgIntuu50BwBhmtj/QuJl7dWFGebJ2g1yuWfzjzczAGzxy0h905b42QO23FkLBtWjMYlmt
xGGi1fcStfBsNlHdjZ+JqySuzWipBFOz2ky5mW97yaA4kqworPxtuU1rgVw8tfy92dHiBko6bTpr
AuY6wKG8ou3j02W2FZRVFpKg5dr1rnmCBFkIJt9Fi8nZh5KVndJI0NsXWbk0n+dOx68s/vEuySy5
mQPR0IDVsPHiJALaUZPqeNF7icHC1KbePkA79mjknRWw7REKhKZfJBsISZxAErn1vbaGJsFzkdJo
fYTkVxxmpJcreIv5Dlv3jPDd5D8zn86AVZgPQzwG3OIkRDjGMXWXwo+FlCzF3wGlx1exLG/Q5ndP
C0T3kvbYtZdXIFapBj6VysK4MXReuwIRGfXHXMoJvKbXKPNQ5hgqjoYUswV8187CHeQYJYdtRii0
XsGNs6PbqCf0eN3ommOIm9bBcyQLFvUoy4ZmYvmeUL3hImpn+8LPkPa6a6uAWb2KO8MccC0xr7Cf
aVmy6y6kag+uZWDHOwwIbol5vOX/zxGSMgV0S+IMNLOXdusqalBauRTg1dBRiHjaYW9KZVNMR1PM
42myBnGmFiVIVqLPRVRGffbdif//ZzAtcC6RX8QB2vI5Rn+Yo6okKmgJp9k+qsF6bcoaI9PT7Myq
++xMM2lNThlSjdSVSwDdCtjur/K9fpzkgtSxBZQkZ6GA2NaHAdeQeKKerT7eu2MYwGirujjdqFBE
1o1gih9TbEbNRWqnSQyZPJorxP5ddBNXvTgHphI3Tk2j+Z9fFlx2gEIo28nZ+TjMrWwV4eFw4n1l
UPoh5Rrj7ZgCyqYiI5kSIxKVjypniiNDx83zz78UDHkfpttcD5uERv6hBAdc8r6hUU1+jgZr5ppM
BUch3K4Tir9OBmXGF5JMLkZYewjsc+5HxkEs5fe34HKNdti6dbwJJ8PKJGwi2ffLCbqRMIf+fEsD
Hqolt/cXb5hR6PtxvHCZe7s+OQamieRn+fPvppQ6jFPDNoICNLBm7hNOo+pAq+cNRZMbAiOA+cMY
YuzkCxDU6SR7ehVvwdtpPbanspLfmn7/I2hJLD2f7xIPuJ+YEtoOSnzHtwXb8Pt3ZLiYvRV1A9Y2
nH0rzyBPpqcl9djR4oH9SbQPLQWLqDZG+vah0ZwvqgFC+oVAegPIv2uWMxhX9ueXyv53b2wZEKNZ
wJ8EBer9G/O1iU6rlcm+8ehbU2py9kKyNwytP1IV2V31idlg4BymmrIVkXXd5UftWPqkHI1yP9FD
+EhTl9My2mfOz6LnGPuW7Rk7M+V7GnfU3BFCq1W79Hqq0OTJNmC8UZr67QjBj8bg67dDaVqSOq3m
pQtQTYzekijFmIC9cLxb6riXdAlaqeYOY84KBi8noJ9fDusHM6nwfFykHukutBB/CCtNhCHTSfvG
hZ24rIFWPZNUE6jlqFONvHsW/vAK5Lg2PlXWTPNkLBPe1oT34dMYelyt2F7C59zZWGJyHf4nF4t/
jwxUYxIAOFLaFiPH1QCskTbzoAiGqsEqlOvUB8O9jQHK7r+FTxOkQ/OGsbrmDuFA8Pr2Yf8j0/iV
TIOUt5/KNG7++Nq+dPl7nca3H/qrBx26v7EOOg4JKygikFzw+/5iSwkTCYeLesNjwf7mlv5bprGw
4NhTAs/H5RO8PWt/taBZUv9Byxl6//vlxURoy7Pr0HRGHuLyxt4/xYWtDHosib6yafLqBJhSSws8
50gks6m6IhbemVC/kwqaIBpdABb5wrJwF6pFt/AtijIAdVHx9q/bhX9htZAwxjcoRr/wMaw3VIZl
tyDc51R9dhaSRhssUA298DXCPkhvrBHmRv6G3yCTzOLMnXRr+PX2Tb9wOoh6kjtTByUgELO66xee
B+cF0B6cLvNH8jqGo2Ms6I8RasVnU3IcUWZikOgV1OGpSILy1Fo9RgsIIl0gYIksVBFPuvMJWEl7
QikZUU8t+I6oH7fGYFN80eMFDGvna+2JceskDmq6FPPHWYG/f/H9kmNbV0fov2eyn6RsujuYdcmT
LHM1rRltNRs71tYuTHx0CK5MTu7oZVttOpqpkVmNV/SVmDfL7gHNH9U8zXAg+w7ahrVpN/O56lW+
NsX4NR/HFj67zhlHGTq9kmnFUaxq3O5LWs0Mo5c+2UPBM38TDDrZGX0yH9sSzdkqQX2yKXTgL1FT
MLYzeg93VsiMwSjiWxCu2c7PxpxYFk72HaGwe3OoGWwnlbqqDJGSEVB6waon9f4TzT5F1zXM1z3C
5Vtq8m4/IY+79qU5XDGam/ZsFfYLnqz6CEW9/+QFVjEykDPybWU1oPrbhDCXkuHY9SykuZPCNzZE
ZFf3Bg3bT/3k9M9szcWfE1LIs6VVyiI2Vrdl5xo3duqTGm72n7lWMHqQp4UM/4Lys92meieCptpU
TA1xM+XkI5q4KQ27HUErdd0tUmqi4sZ+XIe2TuWKEUSMrh4j0O+2nQGUkq0AVmHMdoXCFBj31mHO
fV912gSPFkrAAFFJ09as4dfCIKT967xoSweXb1nRpCM1N04r4rWqTICG1qzWSRePu1EYjG00Moyr
ZibArIibgIO1R+elirM7s0EWm+bxfJuj8G5WmRsZvwNgDspVFHciXMnBI+kBgaK6rCAisn4lyTFF
4bSi+Mk2S9rWZ9jHNNjHbLzywtzcJk6nrtkRaDfUjdT3rRHPz7JANoMwthkvGzeNzyFy/NsA1xkC
nvhCax+Eltn1J6wf1jZ37R5Rt56BlAq6NtCyJM7apCc+xut6P6dngNV4lQZ0UaBKR7hgBMb/iQYz
/SqBgpejLmcyJN3lI8tIw4QdI1EVS3OLE9bdpkZD2yIR6HrxFAESgfa0RQIsb8u4jG/bxLE2nvTs
LwVgLfIEwYg/dVHio5EO1PQJdoodr3HAGtiMRbJH6VAe1QzyZFXSgInW2pCu3sEZMG/pvpN5YrhV
Xt4YqMgffQHSEWpqHTVrR8qIlSRFZz+X9StNNXNRS5TjtT37JfPm3E3zDWRK4zHWHeVIJtwwQrwW
jxs7FRksnqyimTGCViELgzbJPWdA8dR2UaXWMcqURu4KrwbWdw1NMxhx59lxicBzx4w8LsN1PEwe
jLrRVJ35KYLQO3kPsV9y/uxt8HfExpQ87ce5scgaWvc0F8Zm42grHz612RgHvzsxyqWKVKjCHNyH
kkA16W+DBpT6zlCqz14nBHcix58n2paNizHrf+qAX9UBNgGi39WHP8g1FzrK/oWpTZK2KIJxz6e0
I1//739Z337y74H0GziSNdExkVX/qxDwLeAoDKiR30J5XELX/jWMdigfTI+bDF0mZYS7yCz/rgSs
3wCx8tdtmxNMwHnrn1QGy77//bED4S+/CC0Sw5UgoCR5XxdAdB4xifrzPl8Ui/aMlsjy4sfvLsq/
ObR/nHe/vUhITeW6fM4fgrj7WsOTCAOQFTk5lKPfzZvE1/4aH12//flLUVb98HmY7LJSOhBn3IW0
+/3Bri5ZkbIYQsio036VFimSNgteuFgUSQW5wPtStCSZzq6zIvel/sXL/3A54Z2QpY5FWwi+tI96
cnJ1AnfwLPw01XC2Sv8pwPTz80/48ayNRsFyIeP4RH+zr3ofztpta0yKkZJcpszn0bUfkQfWawUo
GKGn/OPnLwap5+MFhbuNZJ0Kln4H6mJuxO8vqB3TzxsRpe05vMkjnlXRrDFalsfcZTEuSKtyokHC
DoxlD93ChtO/kgDDAH4yPmo3VE4MhKyYTQ5iX34gxiOkH1nrEIo6XNN6xXqbVStLimaRgYWrlqLy
wPzN/mplwwXrcY9tbaG3tL1pPU5dSEzpFAJaAF5l3yRSIRRLcnujzGl8nJCyXqEAHOIVDaQWmZEM
y7NHa/MpnfwaXmKL3zKu3Vu3r/KTR+NupR1iOFSMz0LpSsDRCCNAkEpCOHPlTqt5PrChXMOs1zu7
LP90/OJUp87vKF/veyCZaF+D8tiY45eYSRIvkXlb1EIEv4Hw2eTNLC9oPONurMTG7bLhD+SQ8uBn
yW0zkWqYhshPHatUWyoy72YkoAaLnxcdrdh+9A0RHbMk7dfon5aEJP0Hwq3wPJJbu5lEluEzl/G5
94iKUwFlZKhjutgxXpgh0nuMzdE2M8fkGpnsmu4ZUJFgGi5dDOn5Fm1aD5FomOIQ03VGzlha++FZ
+vQWEo4naya2dODNLCOIsREobKuxbb0Hp/KNpyTX7S1jJ35PQIryuRY5Ut42VXs87VTQbUuor0W2
6GVUyva6LkCUWZXMd/hxuEVKCa6urqd1hrQEDKaydjotzEe6YwGJO3KEOZ9a6lmlJilxa3MSV8bs
x+c0QeHHkEqsIuasm0R6i088FeFhNtroKoqS9r6ZUaOVbXcVkWH4jFusPztE0OyhvYtrMdrevqy4
F8CkpTvVV+MFfKjnBA0mOvCUqJDMt8e9w/Ds3gTPemFAN7meY6O+UzSvLWif11jEG9rmTWHuoF/L
59pzqTOxJlPd05G9aENHXeJsy1fRnHh3KfzVKLLJ8I562t2hiDGl5glYPvdp1PHRKSMJ9364b6b8
AXEz5wadGRcO+TaX2IbyVZpwwtcKEJwRDeLCsgHkQX8s9hP5IQeXMdjlVJvM0M3YrW/LiX2DOxo3
wMogfuIexcr00mHOWxc8NFc6zoxLeNvWhT0ycvAKyiYGuEx5sRn6G2lKXi3OFyZRiHubMKGRDEBG
XcfRCKJnwCsVI+Q4vIijaLgc0aNCh1Oo6Wj4XlBKRzz7INosx+TQFClOBm6OMtErhuNsJeJqwdzt
oswLH2tCeDg3pNXG85MX+L5PoYBZHPe9eUphlO4tbX8hAvKKXl38iZ40CEafK02aybF3oAjrKG8X
xne/iQadb2QgElRS2bXRSWJJwNRuSFZ+TeOAvMTEzKdVEMX6EIFk3ArDvCfFZdeDRdxnBrblGubq
xZzza+PIkw+tMHyQhd1gbBrZ1juwxfZLpwtSvJLG23bjTjaxfXbdJlxXzMCrQ+Xr7k4Zjf3Cuh0c
aFbZF6ZIOGos9XaSEN+wcp1mvomKvMc9HjXTQy2C4ooFaT6IMcTvZbnPbT2QlBgGxmpA7rgumgjo
r5nAkqouEjaAValRkq/imMZoUYrqpiuDQ6Gth0WDs7IiAUwWe5/TBkhTsQJsotwIruMo/yMC5gtX
stv6CimXMp3ma6ZsfdtwXA9X9MwRK/eTd5tOHDNCTxQHr7TaPYy+HMTNPHyuOSmjymYSuzKxhE7r
wuMBIglmXGT5RvEkBmmimJyde6K8PYx6mEBEUWbdCg0a44gi6bew0HDcjt74WpYTpElZ0SzuqnWO
u/PRTVwIoiHuXw5rxZL8OjrrDPvWtghkcaFmH76RnQ4SwdisOTIGxh6Hk7eW0v/dFzZoz6XnvQGx
lhFjEfhnqF7iAlBQuW0tZyKUZyJpPXcAvHthsodWgW5mVO7ehU9766Ui3ydGHH8J3G0Zp9NFMSVc
fp2MD4KVawOZJeDkPRVnO8Agil6QVrfR59YnR3pbjyT1px7+yJdRe8mN13rzU1fZG/hVxJMyFWxv
lGh6kqwy7jwAuXsQ2u2KZFhjw+b5Z8WICs16m+8gO3QH9sfhoDObNUPiX/YuibjAr7Kxik59qyv+
U+T/usi3KVh/Ijv9Q7+8vm/12Wxh/5KbCkE/jwgGOwTAxljouzRlzH7/XdJbNPd82/exBbjgEwWl
69/6Upc/cr2lBMe1xcb6j4CHYITe12wcHAiF8CzsfXboYS790LJPemfUVdvY137U+Y8TDEHE+QKh
kzsX5mZKSrnsNvUR76UUq1pI0u5mQvgGxp4XyurklRshkvjsJnN+UwPKTi7liJFkbTWS3oBqnenR
1o7+3OdUeH080TRoJoumiw7oeTV9RoqLB8fnQg2TOKElQFGqI32LLAGZQGBUi91kbn3ijLGv71Jm
LHu/zdBItrlWKx928QWd8KZeNQldKzCLhKZvjAmtnzNNvrdLRhA7e9yWs0LBmJmsYpjaV2Qx5a8S
d/ltGru6hDJSjrcRs2qib0hLNjdlUwKiyYgt9A/11Do4eYTC38SBnD+1O7exjipALicTV06H2KgI
aGSRGuED8QYRz8HoI5RSlqV9j+y1vg+dLD7NWa5vJaKVJvOLfjMkJVryqKvB2jMm2ZdhwcAoc2om
ZCnNKbhhKkfg7rRj31zbufXQN03vzw3QHbPu5T4SbqouyogK0L/AdZszm21TczY3I7DGylzngOxu
bH8uK7HGcWAcnE7UCm9GLMmXzJA+V1W+TQOEn3RUGsYM9knnFY05lNQ4od000uNNjvIpjLZ0JdsQ
ozFpdDt6Gww11TKoitcuUb4Mm8Vk7DCBiG5Yu11vYzLDkeL3KHYMDdQPSaBfM90fRHRptcRQbaTT
6eXG4VjJ4N6F/jJmlEJ56Q2FPva9Uo15I6Yy620SpbsOpWi5ygdr6MTnGP+cNT/TQZmq9rUfUJcS
ckPmRxHdvz3F/1nwfrngCY9T3M8WvOH/PIM/fd/QePuhvxsa4jdWKSvgRAiPzOO0/d9NjfA3H/O2
w7rzzWvKMvf3eINljqO5y+SDfZghB4fzv5sa5v8mQJ5Xf98EwNUN4xILKgjZwPt4RBbak9o0Yxia
AQwtHpbYvbXbobmZiyH4p8dxXoueGg5qWsGg1D40UDQPwUzVWR3e1JuzntDfQmp8nLgCV9Cgwu13
X8W/6aUsv+9dw8ali8Qu4S8OX+rkj8f/JQUdYTKvh+ySISE6togFDcFgPzr2oeojgCP2GIjz4KXW
+ecv/kMzwGVIDcQSki4EZ4QQ75sB0kDDU3cUunNLUGlZlAhBC6FxGizyjzGaw8fIMn/1kX/oePCq
XC3UeWxn9JI+9HT6DhvkEPhwskox3uVUkK8YHRi+hmk73sUm2uKff8wfXpDOG3Eu3EQeTRZc0e8/
ZmYaI33YNqQOjOpLnyWRTRP5axnYxhc70t7zz19vYSe//1J9Zv80c+j3cXGxTb9/wakT7L/RqPeq
HiXiOy/qLICji80gGBwmvxOw95ugqJyDT2DECYBV9Vg1SFkX0cJcYZ3q/FM/WZZatdpVJF0vuFcO
FONnZtG/uAuQSvz4fhlS8ezTGgL9/HGaWAG7iLOyR/WGJtE54xtwo8suLhjfxfXCAJOxGI5gRacC
KHjvijPP4HQykOzsLRNm2jHtAlTuU+O+xHaHNCDxCu4lKP+4KRBz3YxpUiZHbVpI7b85Tsi3Lckj
dtEYUKIw9DfaFFPJZM3BjiGIuDFa32i3ahGwN8Y0nkTPuC5KF3PI3KKX/YogkuB20qZGvUX1ZmWX
rY0k2WOV8DZpQAjhfpGvPxGjHkYn2SL/PrRRJtFA+91k0KqyiHwWf3CXjqBtBF7KEeBOqJ37sZqG
q8pMEGLAq4KsDCsb6eayELQY1Jhn6G68M0Be3YW5RKMO5h+9f2ZBR2wRtXsaMDqnRI3qv7T1nUmw
UbkOJZnAa2hWy0CidV+C1hxPSD6Y95U6wojCqOZkwKw7u70KNumcui+oVywOovgJnr26B+WI4x/9
yJuURjktn5SuK422ouMFGYlEj4SPLsJ/vIgvxaIEDmbNdWsdcVYhX9ocyPBxkLP78qZJeVNrSPhx
9g4IIuKwcFxUXh36z9O3ezWh/8pYjCMa86l8JL0rq+neYdkihXPSTXfRDRphhIG0LjmGfpSWh1wa
suxXHodete1h4Ty9yUaChvV0g68W3XcJQMNbAbB3XurFnZTEDQ//orYI0bg+Npwx6TZUixwElrWx
dujRXLZvxgK7qcc7paZmgDNrcUl5upvnkVqqXMeosZYmX8uXFCbCPijABPidiFc+pYMTMumKMQy9
XX9n7AkRUIGzTXLf33BAZ3wt0avcvP2dPiLFpZzMjHVjTvYGn/U+wZWyGeIw3CnZcQNjjgf32udD
s++6LIouIcaZzVp3gyJ0cgxCvCJYUiF9E0GmCNLFN3vT0+Rq3FVQ5tb4qfFgHaE7w4ypd7iHpiUn
nB+oiHM2D4PofT3SwzSQpXRdnxp4J1Q2bGRsTNGpaRDGrRL8ShiaEtVHV9YcTtDICFDWkyE1Lp9u
Tu8GwDYDhaOeaOhUFPId2F6YN6CKkKxqLJRmjqzT1S7XuTs3dpSgN0MvGVXhtAsBkckEfgMtYxJV
g8y+cYOlWaOHPS25kd5TPZ498HXrpKE97FnGdOO4ubfuGBZ+7kwUnXSbvFU/jYLw4aQ/DYmkiO9h
F33pnRxMQ2J3cJXjMB0vUePovROAMlspE/7ByqznG+T98avsWDYBRvvHKk28m8as0EWq2ZmuGEmW
fOEjPHOc7LiYqmbuX0O6i8OmM5DcbLi5Q4iTSHE3oaM72BK+Hz3ayOuRfRrOA3maBsZT+VIJP8PO
jAhkL0my0PxFmzWnNTW31JS73Wsi+I8V6zLSHiZB8J2jKkn3noEzZJhb7C1d3zy78Kwfl7D1bCGI
louDFQsP3Ozo8c0N1Symn4mQRrxc+fAy1gw5M9db7GfogjPDzJ4wjfBgvdmeIrPDcuHb9iFowkW5
GkbVhm20phleboEXVZuOjxHvkLAGLiioGSfsjIjsS9kaxnyYE0cFB7tEQ7pIgGl22a0gQsLD2fiV
xE/X27YVYOOwia4Go4nvwH8lhzgIz36SyMeib1+mEg8Ct6B4pLmkNhloxhv6T6zzbiPSIzko1hdl
RDQOib8B9BgO/idaljmhgHo4uEhW9MYepFjzXPqcvOo22IUYIW9xxIxqN0NsKpOg2dRjxyhal3iu
yUmRZNgUjqvpvkfVDZ1q52shbP5+w47VPrhJaEVfw2BI2xVajqjezUHNuJYsLAV4CgPjFechxaUr
icecsQZ8nvyAtCWnCm79xDY3GR8JYQmJ8QRvRN1zPQbUIk2P4dIeYKflQvO1yhDJbEoIC4uFU8Qt
Wphu4hieBTfGOLEtlExKNkbhda/f7EjR4ifLvZmbBpz1eOpiM1hyf5dbCcQ4B62kFjffHFvSs1jT
MyJXHt/sUV6fhFfdwFdD9G64+AEVUCp85yROp7AiY8ILgE/gWYxDwsEbxKCxlbPet7rdT4lmHdRu
jN8RMRMOUND46yyoeeWMzYQoNIBXd43Ny3vuQA/On9jH0eThgIpm52UGHY5HZVkmfVqc7RYm63Lr
D2aRIOKpgmqlmsG5GpQiJuHN6dj2Rvda2Tk7h7BRErGzSuyaBftjl7qs0yVc73YzSbz8S7SuT8VA
C8O7+Pa2ROUifJRJRiURGQbbl9+y2ssCs9Obz7HX1L4lDIGtmAuce/DlMZ0Db8CBdS28GF+R2Yb1
82DBxb+1XM27TsuGzzromZesgID7J8SpBcw6wiUdWvdFEi96+iEwte+v49HxjirvgEcAUZ4+RUbt
PnuJYGGdWnybMO/GFFutylB9KxGfB6IlJ9bNwrtysJR1rIu++FTUhnlsVGL82bcyvEjUEI4r3jNV
zpurzxoJ6FkFRctOLkMkxHa72Exj0Oz5rvUdBI7xmKInbiX8UHKDF6eeagIMYQxA+upTtHyjGdiN
l1mV3HFFx9doCMmpobdmpN6MpBqS1ouAns+jMCYkbVwnSstPnp0a6pP2RrAa63RI4iQ40SEOPbYq
RFPA1IIY4fpuygnbFg9ZQLUcX4xDDyVPuOMJjCoSENOJ4BcXZbrpByDPgzdZFyWQ+oGpYGIec6fF
6Vr2ep0aybTlH3pTyFGPRTY3TI0SeaoDVpYcPyqOhjA9GgisV7pL2HqmoNwz5QDbPBLTXqjhrUns
bSoTWKLph5fO1EVrSa8mDljSbdJud8KMxaadRblqkXMcao0iK+4LcaoclhgGU2QVZmDiVyKnIum9
Mv/TSB0AJLqOiMirSwyTUtcbnsBhzarwZ0XCoFFMt+HoDAfuawoDJc3bsG/MW0xWeqORCnndVOLk
c+WW2jjChKIWtwboNPD5w3Z0nFvH7J1r0L3VPd82+3I1Fkd2vpIpUA5CwrABoZTeNg6La5XjE7K5
VLcmttiHxvAUMwPLvqk1IO81NiEKyFFeFPSdNp6+s0txovKrtqSGmX+ionGPNv07whZKorjIO6r8
wcFWYmTzH1Ca+EIcxSO8Y5w/JJtSmUVNoW1oBq/swN1qAqjKCpIsA6c3V6jf0xpT0oLyaAOevu5y
VPoMc1ltUm+Rxs56Ca6OUFx1d1M+ZCRKUHb/4ii+nJLeHY0DGhGkZdJYELQgPh77IQ5mITtes28Q
71D0A2iCSxhxJ/78uPbD6SdgBi9sehkc+x0Obu9Pa2GU9Cqre/jhbz5ZhdL8LPEcFd/c4J6zHF3e
lsOfv+4PR39eF9kokC5Opg4nxfevy5G8AH4yNvsxK7yX3ijbfdmNOBQHDNEtCTDVdPK8hLUYzgdV
7s9f/QdlBa+OWt4BPebxJj7qwAlvo3sivHo/ACnGSRa01hlpYH0JYJLVHq0e/0YrzrFkqbyxB/5t
/vhPx+5XHTvcLvR5/ueO3S2013fdum8/8Fe3LjB/Q/q70N+IQVqQcXT//tIiw8MIGEXghIDx+Nfs
4u9unfgNQoWFqUMwS0C7w5Th73lF8NsiJEYCb7O4wg/8RzEE4mO7zieDgN6HuzQF6Sp87H5EgxED
/XfdAw9sE22sbM4hvDfRER2zXgMU6p5ClBS7psWDKYYxOgYkcDyHnTk+uBVHQcfLuie4Ud1TzCP/
i2bQx6eOd2eZfHzeoGV73kdjRqiCNmLw5xwy7dQvLhkFd/BoqqvqLW5A0qe+CBuTVPimJhzhu2/x
3zT70H5/XNMWjh5GA0TkKKfeeCXfy29ohoPqUKkkczL6XMoIP/Sg0vA6D9va23iN61+h3qk8LpPn
X45OmD4IeBVfxrmaX33VYe1s5sk+xgXzndxTxUVftCrfUi549z7V87QGme4eoqHsr0RjNzvHbBwa
JmrpKpYMbzn7lLeJNXFKBR5O5l0gScMcOA1tlJoRTwZULwxj6bbgw/CsZ6bUTMg5DaywYdA+ozjf
gnRRJ4JfKpydToXJv7eDfBdTJCcEXCaYjVPHfDKYbdOZ8c8K+nSBi1WypPheU920DoYmI1kccG1t
6/2EPWSdI+NdZTgZSfn2By2B83jJuklIGSitcfpcQalGDIs+6sodsojOz9Q/BUO06LtNQmdWjOYX
yrwb4A+082k3JIVHNjI5SobDMAJQkSVPi+30nsNUKjYZs47nojY9/GW+2W4C7NvbQaFL3mlaruhI
eZRogwYxCT9SeuxBOL/PQtXJtur9QR2WMIWY9JaqP43wVZO1sAcgZaknzB393ChYVVEPFmTlevjR
t04825dobjBex3FqDeRPYJPklOfwtWaGs3e1ZQHrdrASDq772c+mgPREr7rLq3Yk/FLCTFOM8VZO
S94i/OBR7JDztLu2H1z4KZZxMVsBB+XE0rvcTJHpa/3/2Duz7biNLIv+Sv8AvDAPrwnkxGQmR5GU
XrAoSgQCU2AOAF/fG7TdJcsuu+u9/FB2WaRzABAR995z9ol4UoMjDf7yfqFhQy9CDtnVkvlZ5Du9
90pPoz4spb5sg6LuD7MginfXY4mj4sgQtrL90CkJx6bq9mCyDUBbPlBq36B8zlZXo0pXSLLnpN9t
pY83hkQzsxGVV37HeUOHgWLA2qCYqspVKtOIDZHxjrVxvdbNIp69B0pvegoDYh2O21nMXOnBaMmF
qjeNV8kxjBG8JGE2xci5fPTo36oMoxDy9jbbm7pU38AzlAZlNNm+6aYmx10/w0JsxSsapKI+BBWe
nJuuA3y6DItFLLOVjS9r1w9vD4Ct14Xj2EAWwDC1PBWN1r9V8ZAVURv0DQIUMqfEth/aSttK9FZn
uljVHHa61xvbYcSi9zBbEGEP6Jw412txxWlcVm2ZRO1AX+sLQBKk30h1Viz67FT4ylWuH8hQS9kK
+uq6TZWoEepY8rWT2MFWDxi3+qTLIxyQ/B6447oYwgtgziqqm2wZwN0PsgkQrQe8Wrt+tjmNnQdi
og21bZwuXr1advfcCzdDMC5G3v2UMMNrJBFtQqoaa7NDzTTiK9gEzoj1OVU8yNsOY7xG72UavupZ
O+jnTLQOORmx4ixSm7V8BTIROBGcA0KU1qU84JPjNM8Gc9tTN1Aoaf1I09dcnorO0mCb58pagPZN
sRkXBD3btjG/OsOA+fjKH4XO33K6aoQ5g6FMbLQ7xqLGlyqZCtEROeFUr6SOc1af26U7yXZxL01n
8I5RHkptp8DjZavevN43eBduYNLQNXOlMGmVGtmEbTvBlyglD5YAxXjTOgXoPXhH0ol8iBBH1Bgo
eJDhpOV1SesZyCnvgHsX18MRjoY/XuwGtT7GRyceoqprvS/4kxVZcqIl/btIFuSA0ndnfYPX3G83
aeOpzxJ23iV1Z4QmxK/JTezrJIVgGN/mqpNfO6P/ZE3KPY647509HSN1N7iFVUQaWavj3gdFgUTK
F0SLmBIJu+1k8c6A0XxOrTHGb67h9kkL1T6aYB9cUDqD80YcJ5Eco2WkO6ngfpoSDXpBCXdt07s9
YRtKrwdvwZvSNxijpwbdOaK/1jhZEEuPAQNbzANdTFgW+8zCRw7myA4aygYKTc+kJ96hvxqkiZVn
7r1q3lfKIl+bSV3WouOEjOckjk34LQt+V1rd88c++t+D4z8cHBlgmVQn//7g+Kl/TX88OP72C78d
HA0dbrCDLhz5lMHpZ53z/G5iW0UvFFkBNRDjQN2mSPr94IjQZdW3fEyFfz8xeihcdN1aybucNdd4
q//AzvZxIvyh0qPqQtqC5kanECKo9ucKTNLrSOXMwkq4E7iG0Ff1PO/YBmiglkxBMVKt7JsEJAls
+O6bMc9iPwnmQXNTtYe2URQo61Agw4C//QCRpfPs3Ja10YHYkMXEQ485Tum4Yw5l6aJxvte8GSxD
OCByCexPKVK6sj4MJbc0cmOWs41exNpNUNpjeSXbrCVG04Q94r8TfYz986CYrU7jMfEGgyzu2JtI
6sAF2IwP9ciX/KBV0sMSZwNZ2yboRpYT36VtgT1HM6PzsnBe6jUXqjQTzjr2MgMvKG1EM6oQl7gs
033jmQthg4QGP1YlGXhLL60DH0pC2R+0r+hSxKOf2S3sgDLN7ggiYGrcNkcyHwApyHh4ZdKN0LrD
dIQphjxxl8SBMJAjhBMmPYtnVlcZEc4OFp0lVyxLih28OZm/SlGyVZaSJjmClAkx84rn0JL5QZuN
Ae0KRLIs2cV27Zje3gQUPOzHX/Uu9GRigyZsmY9NPhEzrIv2XE+kOXEVSH0xy/H43xXh/wVZ9EB8
/92KcJ/Kb9//59gVr9W3H1cG89df/JcABG0bbRaqRiCGH9aV31YGD20I0009+D9lyA/rAjc8VMZ/
OWF+l38Yv8B1+CAr/odLA8CMnysmlitLt8mzw4cBXPEntUBDj68tAwIwNA9cbDan8iHIYYjB1AnA
kZjOiyrH8YxnFT3mUL8UiaMddcXxSA6kP5RLmkd1Z5ek+pbVbTHoTzRGE3BoRZPtpI2AhEfJOrZw
VWhAat4Ol7YClOddavIYN+Zk3GY0bV8DqzyjdzpbmgLvRV3bQxbgWaUkKcbB39BifB/0QVxKFDZh
49V0ySvZbHTNX6B6cNhH8HWSgX7rGp21CVr1ivh2QgvVbmcbFRv99/eOILSotJJ5C7nm4lnTXmEJ
hHNXvQc56TXGeB9PDuncYtjBAztDL761s/mkJ/wUpAGYUuJ1rnsZSRJZnJ6Bzmi8ITR9aeZuJwvY
EW2ZWs9xYx9E60PU0HHHyW61AmuEjPXWSz4Wrx6skJ2eqHu9zc/rN9CXzKNRtr5n9UpzA2S9swqS
pawSHdiQeOmGrJbHxFL3fjWBH8FzdGyL4I0E1GBvpPYBjtYpR3B9XApm6prq+GJ0neOMuDJT6FlT
zgAxne9Vbb+kVn7Fue+1bTISPJ0LUxp65q7dbW0+kLLFu+znW7vgWs1Wv2uCmnOQvabsUuROHOA2
gNOBFEm+KDMlnoZRDBFUCBW2Ig/6kDmUBOUh0KVr63eZlq+DwWRFn+EH9Yqu/vpatc0PkGtzqzr9
tjdxPKas4D4MPG3UT7UntZB6490q+DHHEOc8n04mF+eAddnlUMgnlOgqMSYj6u7dAl+IpUV5xwuN
gtIrJVL2uiUMS87LU2s38SZ1psdSd6JprlRYpS0aeCleK3gL28Kc3ny5nEYzEWGWtgKtn/ciJv2r
31g3AX6J0FXGbjb7w+JAYEPe+cgE5gDosudGtQ5JyTXSdL8I8x6pOZX+CYhfynLP9aRlZLF1cSdM
S99vGrMkE63Tn6rEeAssBeBqagm4SYorwxsfm3Z4tKfivdTJzIJiDbW+nB6tmNiXXJBxVXBQ3S6u
xnEQSUX48b0blXvhdP8imyrbQacgldn2dv36e3xO0I/kHirLfRFeOx9AYELFM4huNrX6C87nIMRc
M0etFo93FrDLqJiSOJwbm0wVCtxD480jmVXOeOwwPR+nUUOEjlZl2yx1eVNp9Uz+EkrFkqFzaGqF
9dYb3Zd5bN1rw4cRwl0jRWNHLfOrLAoIUY6IolSvsScR52MHpY2Q2U31lFfxUznRno8WuwvWdjty
jjS+2FX+BaLUGDLM3U4c98PFElHdz+22saeU+QQ9YHZgiIRXvuw5YXjNpdDS24rczS304yepYYqB
NeZgtHVekZ+0b1WF+qfSsnRLMiNeYsK36yVwd6Uoh8icZXxr9KQEJBW3/5KZbxJPHIyWkvDYUQ/d
yTR2lie5bjOPwIDnH3GugeKUjh3DCW/YTyY33Zx7L57mXgazUcd4bN811Z5sN/81IeTf8lD+JMGi
1+yh3QP143Ji/LnbLJCwolrI5cEeNQ5iZMLhOJkuwmnOS2y4/9Bn+7kDuXa2AzY0C9cgAfE/Tw4Y
Rg2VO3ukHfOoR3g5iHCzgJVZLOg/bKZ/0dH7uZvIK60dPY8X4/BMN5/d6wfwjPK8ycqIOT6Yff5K
gYzpmeU4g5UeWpSe8sg/6bu/f80/d+55TZ8NnPZqsP79j6+ZWFWQ+jiVD3PvpFunGx8ZWRehZtkH
pZG0tH5eMK+ntmN1+/uX/hM95uPzBqtqkJEferH1+/jh8zITUAtNqerQYbyLMlLqb2e6dOtyccpk
lh/0YHpT3UT3SRHOkRGsRROlWmPVSPjDjZpUy2lImBVRRx8CsMMhNv6t6auTImd5A5CoDil9N43M
zpXbQpEc76cyedKdFDLKZF8GRNBkv8lg7xAx9jlB7hcym5ijv/+kf3ELEaajmwxGDIJ0V+H/jx/U
LESADsOuDqnZ7WzJBC5Ybsulbf7hG13b7j9NudbUHtSCpP/CG/hZcBoow5/4Q+7VAKZzN1HTGCDy
9IJFuHKDLIJ9c+4To7wrxvnW6/XyLl2JyfaSvDcj6/J6VCEKOwdeO50SjfZjoIZHLXAvVjvuU5/l
3kEhgOgegHozmdNL4pjzvkzMetX4QHfX2+6+yqeniTEqrihhX/XCL7EP9AjkK/EeC1L/qrzgKk6+
3FPovMdyefKZvi59x+ZdWwegUAd4liJMyuWD/XzKSc4LzWG5JbvW2tBTMEhT0b60DrHdnsEZ6+8v
2F+sMIiEV6su2l0T6PcfL9jiabKxgc0eFgXTk+PExMqG/t+Fn2Yd/v61OGH/6Zo5OvsUAzyPUcL6
5z88Ba05C9h7cwUlcLzHWHhVyn9aMD+epB9qYpsnDRIqWsz1f/+sIUW5RI6krlcHGYz1rhOTGWJW
ID7LfBOLNe97Gn65aR8CzbyoOEi35JhfaVP8THTmV98ljYEqq0VqkFkH6AJssgGrUz2XZ8Lj3xdX
Ad+PRX4g3G5BF2JB6AQmfV0Idzv69Se/51+7nZ8cSTnFFgZAdsMQFd9q0NQ7szXTjRU05h63Rb/R
TfHuVNyCjcjP45RjJk7mkIYXB1RDcfrFZFwhkQpHvb+XlUmGnrX8mmH+b3cY+y+eWK4FBCdM/joe
e/OPF6Uya5x/c1kdjIJCYaQ2DgUklo0JO/FM4C72cY5bUTH7l5J2PH6OltQTo7zpM+7lOAe2SajM
TsWLQiZAjQ0h8EVltRUBbgddNbqXGHhtOMTOJQUoHKFZAXENPyuiT/+km+pt6fQNIdwPQLM4VTV8
4Fab9nmqP80cxDZ1nNZ7ou4YMKn7xHHX1j/3J8zcFbo6YjXWsMWUcRHsTWd5Cup2PP/9jfsXDwl7
xvqXgb3J/Hn4pZIGTY4aq4MCdsgRB+KX4u3YSBPjOvmHK4JH/s/Pic8uzLKGvHgF8f/xkjS2NQPc
G6pDa3YV9rxORn6cXcXsVIHB9VloT24W4pc3MFn6TZZxAkwK0IocAAcZuzTRcYfT/Gy2gYunBP1V
DyfM/9rl2IdH/6YISjhvwaoRraQVWXX3VmbL/VTMp9JbN2Nus8TKXwmn5ZSqzDBbyNUccMdO0gw5
rm5H+tW7nkv6UV4u9mRFwuEHg1Ubp/X8Rq3GXR0P/aZY+vQ4IZ36KILiaiJUuwduXw3qUfQUkn6e
ELXeUOo5i3ps+wQwp03+ijXSnTVu4USj0+C0ZnhDBNhsjtZ/0Er+DRp0bsh6gIdjt912fYy6ycFy
ox7dZC0gnFzjeUIGWzSclvQ4OyMs9yOv5qdbzXlpModHrI+b68CZ3lDzRwp4JUAycRaQS+j1cBS3
C/slS8d7RdswtKRzQHZ/hTP5asFBtmlBHW/6vriiKMarxM4ikpEbk6fDVf2Z/vGXFIDMVW44l5E8
Icts53AtjBjuCZKyW3mCWnUpevvFRG71D/ux+xePN2cdSAkIJrij9J9OHgVSuwYnXnnovPkNwM89
45cL5wu+PIfHej1/fZTasg+MXR9w0vt45qu0382qUxu4WG8V0qEIt3O2DfIg8sfW8lCjJVCtTb/a
BtMwHwqj0yjQiHanJSe2WFmTNwIFgnPdYq1eEHJu+wV1XsVaHi4egVUaa0zWz0+jxXFLb62aJpsY
wimBm1T4nKwTCkMAPqkluSAJx2wvI8YHXv0GuNV961OSBkNxHofh3nZgssvCnbYMFYjZVMsJGSSB
AyUifENbQPrMb25H5m1b9/ce1cEhF+5lZBOhyBweLVqi62m+937fX//bc/+nnrvBMfCHVfZP0JgH
OfybGBNQL+uv/t5j839x+P/03VykRj+CY3zrF1ROHCg4wKAMoJn+e+/dcn4x6bE7PlJP1zZptf9L
tEFbnr3O4ZH4vZn/H7TgAY78tFYjDmE2YHOk532ghvpprSZYmBlzJiSkFY8BYgCCgy5EJRAxAl7a
EfdrDwzMMv8uEBYCRVNU4qJcFsERUJsftagiuVGF9ex26XwrXbN6GDs3/oLNCrXpYiGR94CgH+p2
BYBCJnFOYi3PyH2WU6im3C2jHmchY0sLyM015/z0khuSehH9rwUoqimabRMIJlIEJXHKywc3JZV9
zKr3rhxQqHnBbO9yrbNvUoZ+tzm5p2Rs0w/Y6o1mXbXxzAiaS1BhPrVSM0Wh0tWbUc7u2YQ2UbOc
EfowlJZ1pRYMLayaerWdimb8rJe8qQiZZf+dVzHQLdgVagpSuWnm+XUjUv7DxfxrRgWDarcNc87P
mDY1RR9G57S3BVxdvgsu+MFBxXbrEjWeIGgV8bfFdViBc9DZz/UCQTnEztk901nvniul5/cAwvBw
YKK5UUNcPdYIMW76jgSm09RMiRPZIIgR66eeD2K+LIwY/lwjOd6ktX835byvhs2DdcqI43KjWyKe
KFQn724h6/aLkfj+bVxwktmwlutGFAdkU0QA7uXOIxmc7cw7TnVZ3+RGE9w64JPS6wxS4qHj+9uN
jKGvC1c0+yVNVwR0AFnrQ4RM4pN8gL/u32nUEVQppKoFs+8A7WFPYo8h8gCVzRHMtnWlEUN4RLwi
b/K2Abe52OW8db3MuLI7pUKIyIPN3mw63QHPbs9nJmPPqkTzVbF/fW4ZRz7X+mwz36D15a4TSCZF
WgmhrE97RLdqDu6mGmg52a3BA3tUcjdZC0KUYGrpMTmgKWjgdaA3AWgA+Uae8uoDc0dFbgTXdW15
yW6YdfAeU1aJQ+w1/XLEhkIxJeJBuzYBVqtQobMg1ACaNPxw2IT9MXVyB8GHqod7hBhOfp2C6bit
fc2wNgadoU+VMdvn9FeWs/UBdiYTbqU8ux/I5wRwBj4H7Tca9Acaev7ARKNbXbU3KzwaggUg6fwD
Ks20bYAwjcXR3yXtB3kasb3WX/UfSOoCwY94NusOMLXDX+2mWgnWXpxoD7MibdLM47NXluNJjBCv
U9DXcQADu/jAYWe/srHNX0nZSal75BHitv7kWOhNxIJpRF/52jF2oJ2+Mrd7Sy+OpKWpJ9GbItKC
VJ6REzXbjj0sG+B2CzB3zK4z0/CRxKTqyXXjxD3weGuPVQL5W7YtBKIBJGqNYAk2uMjwlMAYTEA3
4B77RuqgCT1FF+DrxsEcormfppOG2+ZIKJ0TzUF1Lxf/us+6GOWX0YWBL6crJbJh62FOprWcwmOU
NNw1W/vmLKw0RQxfMF72mC+JOxMmsmRc3RcCSB4IvgHLk6hVD+M8GW2LDGAYBs6yg7xBUX5PnqrJ
SIBSGL0SWn+7WYNhcCD4YHd3QKbDLnOqk17V3fds9i76YsafwUSow4Qi/6FCTXuTjbILQU+g9iHN
7ZYgU2u35peDx0nnve0uF9H48CxQGodp2hW72chJldD4LYN+AGaWVtbA5JfPMvZolRbezVK3517l
MSqOlG4l0Un7JiYZO3M1/dy2sbpxu8LfwMf8yri/2VfC8LcinuMd9oCMkHmnC6UBD2uRHGaKcdTW
/ErjNBekJwxe8mVVXESJQeWTe0QGQAqVHExk+wxVRx30Muk/0e/puTGUtkf1/j60brGfySXY9i20
8dEw4y9W7mDKn9a0K6QrJdZAqozj4FItHKzSdk4VmvkdhgyEJnVCFEmNgvrKJ7AznDTNuxvqNNiL
ha2JuGux7x275K5wF+8ydw2wQeDUItv6jejvg66Jn4IGC43llDFhgUMKgclvvlYyl9QmkAVeaoj7
aC4opmNh+ruy64O9JODuc429/zloE23bj+R4SVUtl8o35WluFFpejDh3Fn9w7txJu6GUfvLwt+mh
EcDjJBnevbSwXYignPrcuHKmLLkO8tIP6JE5DdkeYvDC3OTUuGlcsUS2QpznYF0IR9OwLhZopM1S
plO70WoIzB7KpL1Xe/mV1iYol+pk2DTaoD2hW++eueOqJhKDqk+61d67cSbvaPbrFyuDXOADHUJL
yG1gq50+mV04rUMbk3AClPm2hm3Sy75bTNG+D2VLH45YFubxfazIN7VdkpRok1hhNjeQJh1hfJIw
EO/TICd30h+SbR00mKdj84sWDO9CVMkLOgcoMzPog852PlW2o5H/0OWhaeU4qwyo98vcxJ+S1t7T
YP0Su8ObbzbOfpF2T2rUgo5UzC/zOAdRX0gz8rz2tSlB+YyWfsxJKd22hll/T8j6I+xJQ94Pe/8w
IseXobnMNgOK2LjFo9pu807ld5XhXqoEJRYtvmFb9iY+PJPBeB+qtFX1tjPK5ZLMfbyty+4bobeP
jCE4SnG+oBtjMLwYSTEgsyhiuggUj1R7ULROsx5mGj/sqeo2E7vcNq1i8Wrm+aNmuszPVKN/SU0P
IrTwve84su6H0XiHsLXxW4GhU/M+V+Ato8bBnTPluncVzPFyXeuDTUowoKqEWmAJhivoqTFrZ11v
R6BckZ+MhPdOc3m0xhrEJ8r5zDU+CTXn1wX3/AYsqbEzEDWQWdyjstSzfTsW9ZXspwd7SbudsaQV
k82VMpYt3wg/scPeGuQDbXu8Hd3Cdx2X1kw/hcRObGs98S9duSNjEyeG5r/FiflC8kr8WW8c6wb9
MSkCvnPXGD33lfNWmqVxJFKLQRuhsCfyTj8cB9+9UoWcC77R9WzSiKTUOiSSVR38GglDZ9f2VuAT
2oy+m+45sXj3WFySCAVUttM5Pd6YlRfftoRKtlx0spOJKdIv6dzZIfhwblEmeJi/JzOCeoz9qs4+
4S51maqiXqiVcKCVmJW8H1LMjBmloEeCp+PiFbbZ0q+1pnOjzl2eemKZ1sNmY1Q3KMeS0FbBKkF5
R3lxYICGKVPTb2LV3SyFwGrUdwQzeQCDyi/MRSuktNOj6obb2uhveq06c1qD+e4udNp65CHkgGKy
ARBGIDWPueMXxIk6lnAYVXm2c40U1r92ywaAKIo2c0YeuKHNtdyabZX/2sb5b+H3T4Uf5RuV2L8X
Wz1+n167HzUV1q+/8Vu9F1i/OPoaMWkE8L+9P6itdPcX11qhD0ingC+ssRe/qSqIrcQKwh+R/MDw
ipnS/1V8pvMLhHFwlDZgITrdgIn+g4rPQNz/x5KPnpxD4kbg4fxfa09zHTT90MbmedFGmH24jNEV
P4+a7W26Yn7zJ7O4LIbWbFPNYNmiuX3vKf9MJAGi2TFrHmqpPRAr0l0NM7OflTd6Bt6mHefYcuP9
KLP0dqga7RUrDcg5V+oNft6YCTSa/KS7JSF6tu5sW+RmCWqsMLwjIei+eWEkrstPHTlDmGa1fJHW
vs5h6Zz9uiVGKtQhy5DZnAdjX9qbOM4zmzCXRGeRr1XbNp8KnyAsmppkpxlXaTC5oMTNOOi3Xqrb
3S4tbLO+6u1EFKyHgLV1fTMRXkP+G21D48qTs/lkz0kHtGFhnuqwcMeTv6cxRcg3ZDEHFl5O8z97
jGdNg8tgeEicIgzY8jWrYv9b4mak1JGDSNTEtk2lPqKGIIdGf6Cygize8xa6fU738eTr1tKFA8yy
U5wZ7Giq5zHejei5x+0imbJFvswOxMfjba8E9MWisnrIdpO/VRA+P8+jY5PzTMaG6MRDgtCZizVk
54YF7JCZ6imTwtpnvco2Rhkkh1wlKMebMkmfxSQoPedRHLGCnqXdnlLcnM9dUlYh5KVbq5xSEhnG
gOo4cd/6KVa4VtVnEpAoD1Ad55N1TKb8aRp7su0DI7vyfftrIkBfWnE+PCz+0G0Q85V76iNS2yq5
xjeoPYZwb+eb1d4MgvtxEU9uYb6TD9uflk7SAM+Ty5I2XlgO/WdZdlflKKtD3iOOJpoimpbS3HRz
7Z7qWjeII1tu06SURJ3nTzV5XaCsNLnNy/G7Kyr3XLpLfKsCCYhCR9AcDGuf3YqjnNV1b482h2WI
c2ZmudE4jlOYkJ/KQo46Nh6K9uz3ytyuYNqjJ4WAlbk4G3x0abh0jf9VDOa4L0dHfPXTZrqaaEls
68bR7pN6tjdVlnxHtS5vHI3c515MD1U5F3voLoKttxaHKl+jVgX6P5Tj5KlUDvw4sK1H1oV017Zm
sAOhz66VasF+dNV3AtLLI4WsjGLWjg2tZgG1cRJfpbUeCZ2qJMoekECgl10kpQXpsIIG6iwa/mx9
LOAjdgSAmtOj4VT6pi3yJ62Ij8sCB6Ds6EE7vfbszLG+sfIpu0ob1E0aIph3a3DaL2D62Dtp0efK
hiM+Nu7qKtXz63LMh5OLYRkgQ+s3kWUvGvocl5HviO2OEHvP19HBZyN7Gw5yDVSfPtzTQcEdXth5
fYsqtaxWcJi41KgHdhx4/W3sYesANDhkj51b9mFPIFGyJ+zcpN0O2CpE+cOrcWMRNEN3/20oGjzA
8TjeIjMwQBNwWyTBWGAYmKb5W1OzqG4Tz56vhl5UjOvVrIJ9z60FmXR29SmE+uOsRhfVvxukhgoq
9pi+1zQM6TuIdDJN8R83FGN6U6sL447uM2JU1POb1E4xMo2lfkqroESy5ddh2mjmHnoBnyyn4ztn
7p6kS1aJieGC1KkZHGqDlXm4uuwaaxsHCxboBHyC6S8vEwawJ9Kqp0uRaYA082dzETpQiFziOKWS
1xr7kulmHrUF4JNKE9/izm8jYdbiqWwzpNqYicSZHv1oYB9frIhRFzOIMv7UFGbuAxCwaGrYhbwy
gh6liDVej/TQ7lHiaQ8YUr1XE9N2lOSAfZcyaDN0XimPMSJRc0uEPEGKxayf3Rjoch/3VH1931+K
LpVIWATGIE2f9+361DLOd8mCIz8wbvAxa02RYhsfb4uUBruYu4My9BRKIn119pKFRK/Yre4QlH+u
BoYU6G+Dt9bs7rzJTtWmy/ELWX7/4s4ZEyFd17amNR7twvCjnJYQ9haAjAyocepnWq+dZgwzuH0H
Axsx+CZkwrgI8A+jXDVYD/z5IpSf3yyaPp5nEWQMmAaQBdVkbqYO++3omR8Mk2SPZGva6MoEkpJl
w6Y22j0YGWasVn/GI+yh+plnhGaUQjqciWOf287GVa2zAZ9zP/gLkWI+LUGJBZieiwzQaU17bW6C
I0CJmMp60ukiBuXbXEsYfqtHeDA0cKVdTgRdiX5vgyCkewxEBiTZZ4LU2EUQgX45kolA1pFWv0+N
9wlChtwuyAB2eleT9DsTiaHZSI3Sakp3A3qtKy1vvlEHnzluDicDcvNmUWvVaXrVDUNp/RrHldxW
+pztlOh1JMWOe9Acj2yDGj8YzH4R+gn+ec3nMw95BnKhzFnvGvfLslA9VYhm4Kr0X0yZ5yenjoF2
EycA3QTPRD1nxjX3AOwYYaehyvN3bA/BbqqXLxhP8cos1NWoPZ34DKkuppeSsfSTzfoV+bMKdXgU
t3FuxmFKL+cCsHlkczfrjasneC6cdyrO73Yvil3hcGAYJ/u5bAd8ZHkHy8LnP7W0NgHblN7v7WAz
5esQXtosoqCBVHoL2zS7C0xZH3XfXK6h+fA1ePmXoYzRPY88XaxS4zPAcTaM3noQwq3Qp9N8yiZU
lYMriq+YwkyMa7M8Dnbp7rLRm8Mq0KodE7Xymtms2vbzYoejNX/t0nhmBup6GxXwHhSRlFudovkJ
dspymwNc5AtdoDlsUm+YKr6wmrc/9nn2mcc+72nqVP5j4zn8rqXPD9j9jiRQqJDJVXI3dIW6dfo4
++xl7gN+ZBXKIrnYpuwO4G8SCxFbVqMkivmi6e3an+hSqnByqC3m3t/aS+yaK7A6WeMlkIEvzRqy
4I40wBNp0nybKlpsXOeNiTj9ZjSW/qAvk3fwJsf/ovJO/4yb6C2r4/5m0S2NNJUxHQ9Z3VtY6t2R
Jng2VaysdT9unHRGNDgG9LMdhztCL+8bP3DuEVJ1esiqqXHEMGszxAlQvHet5dvrg5pwTdFnrYGI
rbuva8PhkalowR8ocsn1IIHWjebEekD4OYToaK6xSWQvHciwryRcXBWKoEEUTWkSNon1DZCHQxtO
mG8GdOUyXGCL5QQfDtOxVhIZkMjTDFilM09veuEXUS2H7mFRqO9jFs8zeINiT9jN7eJWp5gS0YMb
YMrpwBQv43Z2R+9bTGJEmJqdB1zAEc9O3dpnYxBO1Jaq2DqCUWIt64VmTkNPWfaWvG8tGxX/zFdx
mXKTqFg9luAZ+nog8LH1+zJicDDfVL4o9sS8ZrvYU/0OdwdOBN4XqhFX22eYiMo9UgDxzGqWP7PF
DS+FmvSHPOvjg04o4lF3FCfeuHGvmmoEqi4QFuVkLariKTEFGrdRm7HzLWl7hQKFByLVsRrVogiu
zKYdw7ScjHwz2VUNsSDRt4vetXf9MvXPur8M32CCjAe/k8FJZll/Yydp+0laTpvz/Elwo1bjRnnp
YDnndIUUAvi4zCgfOvWYGKywIXUSoPglqC0EFEU9j1uR8TycAt8uy60fF+4nFfuL+5KQBb1Eoz+x
s/qDHfAggunER0ZSwtbObffiwi35PHqK4FDCSh+KpQJS1aWVdi6qSXyOS6fakdIJnbxcpoKOfwU0
xs8Sf2OT++5jcFLlsx5P8d3Ijx6mkuUVyfoDFtyKQ1gzfK3KSkZa6qF97Zfk1FYcSYtqbOBRlGP5
yKAaNY3umXsFE+o6k6TgzmWfRjJpirDWloIRTFs7OwXm6I5hWNtGzsIgJ2NQvR0zY7guq2XY2GZW
HWBrJbcmBKf53veyVt5MCcnqUZBMeuNircEczmGhpEU6rx6uwWQQ8I3jpqBRRz5bo+wHIkrdHIjL
MEvfa7tDFqTQpBV5KsupmGwt/F/2zmw5bmPLor/SPwBHJma81sSaOBRJUaReEJQoJWYk5uHre6Fs
R7d0u+Xofr5xI3RtS2JVoYDMk+fsvbbbJHKbzbqoYaxGrKPoD4mtaVxr30Yw0OHMo1GdB0VCd53y
LH4FBBhuhJGE6hz3S5IPt3CdoPtTw8Y1CZPB/esNrD4A+M99a+DEwef7OFYECOcYMm9mx402fTsZ
R3qr+lBzT2661orPOgHFH5qd9yOvS/ubKJaGeR3Trr4Zc/3cpEEYv2Fj6NY5Nky6jO4imZvnJRPH
97+TxKz2LuE2pMYy8VlXce29zMkgtrHL6rwNmizdNWYzvwsK69MA4m6VcT4uPS1uSn4sCPSqvWgd
69dotPPHYZDOcdbxsDZzW28cGGRAcaLc2qoU9QpUd6qDarFCprivayC0d7Zd5RvibuxPDVXklslF
sMZNmGwVex3FeTVtR7Nut13mHej19puSg/tjq+JgV6fCfHfs0d4Tz6BXIaOzVUbS/cqLy+gmVla/
qcuFZBTnLl9vEw1fs8DobzLTvrfGKPgQRX3f806wHwiTsYA57SuZVZRSnTqjd/bB16CnZZjkVjsd
jM62YiSBLhn08EomMRLyMCdgPWMbD0cj/dJQ06+WIOm9EYfWxiCzc10MbuEzVqMLZghjwihqWbsy
tFHqB55x31rz9KiHaN8xqrwdyZ5keFfAklWDkW3hdUfftXbt2zCMYxbaSpEWipk6bVj4O50w2QDJ
PtegBWvU7Ww6w3SJWhHc9aPC/kirc5+6MXEFGUNS0ZTlMRbywfcxVTYNBEwAO+q98ZgKF+WEakMz
sbxLjaom7I8IXJmF9irJAutNYZLBRbaA33KAhm+Gbt4qy0tRXPs3tjNKQXZT/yFGNlYfu8dhyvH9
Sg6eJJw7LTlnhcoY6TAbSjyF33/O3omUi7Y939YKRMwrKNBTpOBTzhUm5+y1SfrlfutEuSXZAC/1
aFlbyNPmCoEqSRJx47ynzQihnwSINTWzJBsZeHsGG509T9ljdS7dpOBuabwbKVJvbdZ2fM6USh/o
Pwix6eyx87c9zIO7pqXehplobqql/TP6jT4EVZVt8eLOe2b/4vtQcERL2qTf53bbbQajMi9J69ER
0PW3Nhrbo5djxRXY/o9MUzZRNGmQZS5GO4R4R4aj/WVOI0XgevWV8xql2FSgFrLnJD8Une6hQyMa
/sxwAcN+P9xaqAVeKKWeY6Oq1l7deqfIRZpQjTOFYxmBOgCAv4o6o94UffclkBU+mckinsR8KQyW
vKS3oda5UBqhHPqfoxFWEGHoDLiF36NQDZ3nuUzhs82peSqm6BwbxVurvWY/NdFT7cofFivpbpio
jgqlsauXJqxGYPpWX9gfDaHGeOGQQ2sjfxkhc/zQOjfmnSp8twV+PVB8jzChVrObP/pTS4pCqRI4
iNoPv/SiY+Ix9j1Og2AaHispZ0Zmfsg0hwbEsHMaBJgU/7TL7Wx0btLOCh4LFiz0hJZTQofuQ69j
XBC1Bk9CvnVFWh9pg6+GOQZcMKlww1elvdsUjdh979oU1jI1Flt+GsuVS6olUdo+wqct4Xv6DpeY
f+Af+C2w1D9MZT7aScni4cfgHbVIj5PD5grp4FuY6o4wFCMlCctdJhIeRConG49z7JGpLuRLzZaE
9bjVq85ceoG6oKUddB5EKXdB6JFtH8bSWfSONmHrJkuCO9ZwBZOy23t99UX58xF9NEkXsWayo4zb
MGD2Omegl5LKO2rZtzvS/rytl7rZUTu0/6pANGvI+9WaytRch3ZFZF9/AVX3IfKYOz6cHIb+xaWy
l/C5fPIOhZ2aQJna6IazCw3EOTfuB9P+HEu7ObWhAcq7dhE3ZxaRDUKrbVzmEnAPh7Pa6Ro4vUrQ
uWhLUm8J20aQe+kMQRsuHGIgkdOXVDFzNtvJ2nn4MBGMWV9Dp5dPg++k6NqZuyOEL4fvTuP1T6x9
5sp1HWAEouqOdUUzSshkLUPDvs2IgaDPEsfmthZpug/c4tZus2YdzpaNMyQeAmbaCMYZN4goPS5R
NRLQFdnuk36HK16+LUr0JW9nnr+lJs7XtZxS47108/reE5mxT9jw6hXs+3Hvp0l99khXWGPvSKIN
zARGK7baWvk0faXO4tFSOn+Pmazcl4MV3s5t1H0zYvcH0oNJA+E0mmNFG/oyj3ZIprw3FGsdi+GT
Pzrdg2lG9ny36MqBdHp5eUMXNAdv2FqarAvsLrKMiUR303jcaDRH9RqJgd7FDLA5L4TGnUTV268d
NoM9EPTnSTmfqBCcp4pUIIgkU7vnOUBIUjdM6QL/ZfDJXwEqYj4pwXCpiXDkyiZ8z0ecUGTA+2vp
mcgUsoXTdRpMippzxph+VbV9dKKGaMedcusSu13sdke7YP1Zua3QCfEpCGppEmUkwNMLo6bJYZkV
HG4o74ZSk6vulvVLre3qRGC930Pu9AJ4AYIe36QTPE2sC3BeCVS5YxYlnnt+gLvxifH73CEHX/EY
hzSNaFBjHi6m5tbqdHf2uHuqtdBDiwyziM+z1rresGEFEDI6RcU0oX6WZgsArW6XSohV5o1kcu+L
XUc+j3aXtHvtR+DSjLGiaPUBzq+UkfVYK6zxyek0YVCFYFK24hjm800YwUt2FV5EKoGAokKi9eip
TY9TigB8bfGgbedqnAiLajh4jyZbNCVorje9pX8MlNdbRgSXyaCsnxsXaB5yqY2jOyKi4rC6jKo3
PycJFTiwCBbsuXbkQ1OVpM8jx/IfG6dmP2UtKx+y2eg/G3bcHa2ooi9DIqp/W09G+xlurLgTZGDe
mBpdNIfXxro02HkeAyPk+FLLMDgZRmR+nUgWO7aN3z+Z5iLRHc2OpxS/ch1hWPYLk5oxQqhC3hMP
5YA3cEMWAlo1q0Z9fEeHH4woigQrw/xjTs6udQeHbzpPtmFbq4RUg+aBTAbIFu6kza1FG+pZEIB0
TGyWyiKLph+ZzuVbKBsKtdltEXzSYEJpjuBtpZK4+ty5TrkbDHZd4hPYzLilNhx24q1QTXKjDXQn
gATzUx2O3qEfRLvVZA2dtSxAJab4Js4lgutPgGNa2BgjyDcUTvbare2Q5aQ1Ljqt9B1Cf3+fR1Jt
m37WN7gf7bWlCcwC0IwM2MeX8kr31mATG/SzoL4712U17LqW6p92pkeXxogekXT0az9QPU17MoGU
bvLbrg2+Gb2UWxancO9GTksGxCxvMTjA4U2wBcSVdSgj6T/gIgU3Ozn90TU8BPkuCTA27BlumsBb
02+ujw3snFtIHemZGI+vONWJnQoxWyX+9K6mPFqbNtC00E9oK8owp1dWTy9GTGKsV8toq7HWbw1u
9JsIhvG6ryfzkDYgltdlWkwmjTZS7axRbvAHeavWQV5uiLl+izF+kHkdzfupHvFIeJIxru+V9IFl
kJFP5Jh99jg6EXleEZtN4ixCknTu07PhVZvBYXxDj1VSaZTRTiLPWQXwbYlE4L+L8NJY43Q/kKm9
Mvv0JWjMV0uxWDtGsY2Rs2/olLwHRe2uAsXAYwDjCOCWsAvIqOXOlCkmMBvIoEogPcNHKW3HQV4s
ZohD870VxdYqS6rPuiGvy1XdPjTMPYVVe9MDIfpijIxBTMt4tQQEIzFTIY/I1m80XJQVUo73PEiq
y9BVF9R22bQSpc/WLpeDYJQZ9z6gkDX6h+hQFcI84/X7sA2vuy3NgmAI1n8skDPCchsrKMCiDvbB
eO61HjELV/9mhPyZR/lPY2s279/GQXx+R5+JlqUsfppd//nX/ppdS+n+gUWEVqCDwZFeClPov0kh
pv2HZzG9ZnT9X0JlG7KIoC+MQ99xMd8sTLq/YQAOumcHv4lFDjJcH97d/2Fs/bMNwPYJrmelXlJ5
mFmb0Ad+nlnP5Vx1RtMxUOgzNEgFgr9LjS3EXSGca778t3n+P7o7ry+GU2axdQY2LqxfLUXKGe3M
i1r7EhmTfivs0nye2j54wTjCA+iaAv8huQ7vQZ/U+//HS6PCFks0g8tF/flzxkYqx5b+wmUmN+et
QOsWbPtpADbtda58tljuGIWKGvIt7n2EcL9/+Z+NQssnRxVgYqWDYMYX9+vLm1asiiDJrEuWL5Eb
vtFD/RRtN+tjXC4vN+YoUH7/mubPdqG/XpRbxaYf6ULV/tXBpYFuKR2YFyjF5nMBW/tgMsOtdh7T
4pcrkdmOLV68k13d3IDtbD9cjcIvM1yuQwXv6UZ7Khn3DRq4cDvP0IyJaeAgQK0t5KnXIa29eF5E
lKCxc8pZZurW+vefg2fjv7kD//wYrrXo8nGPCqg2P391/uBb3ehF5kV2VElph61zzLp0JIF6lM/w
AsrTuGDEf/+qP7uC/3pV/G8u81ReOPjlhkHA6SWjU8tLsvCq6c/EdHiL6IdIRsqsJc/DsbW8Y4KD
COBKef396//rg+lZ0uck7IIKQX7wy5cHwKpIgb3Iy5+xAssDw0EPpH9fybvfv9QvvrLrZ7VkwJPl
C17wXzyz4eS1hRCdvNhxQGIC1XxK2iTTe6ZLVvMxpjYp38Jdnk4BC1t7Aw+LkXhYt1J6fL9/N//T
BwdQwmoJv4c56S8f3LSNMqhEKC5dW/GQ2B5K+jO1tuhh4KXB/+Mh8Vj2eC75n/cv3lOpExEbVm9e
wEH7G9oVEOKv2QjXpAxGvzZtiabkgBFzlweQp+/yPhgXJRnicFp2c3kyXEj0imGs2tI/RBWd9pC1
W8xDUdRDzC+mhKeMsnccjkEkUIb+/pJd7f7/ZW69foEe9FJbILFC+verMTDJVNj5yEYuYZgQMjJ7
gL6v983Y5vqtrrGFZ0Cg3vCUBucr91vFCOnWzRRUezysYMXi1AZdPg8z3RcJHf/jmqbx+/f5P6yC
i24LwRVABIA2vzzJBqeA3mVMfMEAwQW5XmapQeJKEnufwZP/05297KA/rR2ucLir2XOxvyAO+/UV
81aZCbGWzWWAz35y2tx5D2m68osF9b0TFmFjlktvPoxDGMGiT1BpDgx4n2LwiXplFVP7YZU9d7pg
BRAGD0Fs2T61GPfE9RI17BouaSeY2JreQ6wMxvVswMQ+ELAr7xYJ+z8YQfkEv34sPgnfs8Wda+Jx
+hUJO/tpQFb8pC7lYpsL9DTXm8QzkvvKyjihF0wDh3Xi9Ux+TAeI/jru8zDaBZGil4gL2hLraSSW
00xM5uJ56+16AlzbfeQ2nQR4oOj3GaHDAA9RFYNwEQ0GHG3k5hvhlSU0TTUtgPHAi5oNXF2ejKQZ
yAzNI1cjEGZ+Zfu6uHRFG538Jk/OZu6Xd32CyQMVVo0/FgqI8SonL4VvOWXfRNrIDbolzofmNM+a
99dHHxP+PPfYTlGxiVv276MIHHz8lZXoByizZMDQc4eCYJcNoHYPut8K+LyhX7oiI9TDCj3vKcA4
LLArqtTFINhXJB84quaU4BKMsnZb0/+KIZFuZpE3bUoi29yicus6uz6YGDuMQwiA9myqjuGZ7sMj
MNwAX0cvmXravaov+OElDW2nLRyGumbKWDxSWj94Ks9oeQd2FG78BPaawsrzolPuEQ/FlIKniFKu
wpCotpQGwdaTLUawvHScd+QxlAmFz2pDCchC3C+BK0088dcmrwHBH1r0V8BWZDTtZZJ5ZzrEacfO
LDnvaeYdnfD00VJQZW5dq6zOxghidKemMo9o2MSjf0C3F90R69N+85FPoe8BOH8jYpCDwJkUanob
ECpYFnhy+m0QYn6VjQ9giOEf9EWfU35blnSgqubGIzVixwmw/JIHjfNaWoaDyl5HH9wo43fVhQky
80gVG9Hx9ayjsC1uaqUdXJhev+bGyoVFaEsxjshVgDCuwLp82BU9eOKClX42HCJWT33hNzgTigKf
8rNH5p4IuAEAJ3mb3MsJMwPOYntLQwpCfmjy/6gCTJy8qR0b8HTwRU244vxUBvrViHrX4u2mCaet
qZpyf0d+F8XPDBGd2TtXuljIRkLhJmS1N+z3yh88a8v0Hz19TmDip9Fo+MamsGVTmCZonr23xEtw
AI1v4om7chX5ks3ULip+BtMOsMx1wzfrypkvFf2VsRai9jdDMHB7FYrxQ5P2LNmxjc7A8+d2PU9E
+oTOgOUpFtSrZN6wGuXEEV0DxQbTbD4a4khwHBBlYNisQ56dg+2rwfMAfI0af00cIz8eOwFvjhMH
CVCeCl+6hTGfTnl5IvrQfK5ggvCHyiw4t23P+sxyhsokswPAq1K2/BeFCYSg5ZjCx0QpFCMR4DS+
8x0uTm2yU5PIY/EnavyCd/SjWGIQWfhnfBrkEHnl+Gg6Lps6RkXinpY1khrOP4cOm6iXVDWDKL/5
qILlUgZLxFLTdAsjdXm3ORO0hEGDPT6UlJ0EODvx9AAUlH9MM9rw9wUzO8hYvbwDzyNx8VIZTuaw
uGAQKgHXnB67mOOGlSUm1kqT7bklVXpzDaGZTK69JG8XewjPb4L4v28+kKiOj3i8mw8aGjQtVUL1
KdKesKkMjhRgmeZDL7EaVaCqtyTF6rge42Z6vBYKM9G9hEIvOHpzpL5PmoyvtuLNjKaffNhW5nEt
lhCakuy4O9C9zILLUNw1yAnLM7cR3525vFvIZ2w8TVnvr0lVIhEU4SVGwa0jU/2GvpLdfEpxXW5D
M6BKb2ZMoX0J3ekAe593jg6WCqqEOjieK6Nm5HYtcJiWBNt0TtqPPw8/Vzj9lARLFIYzkZpuo2wi
cQfKtn07OJN/jpBRwji2SBhh2+ENanNM5tWSWprg5pDhV4ymvHhxfYQkMcPjrh/rpQxi52k39XDx
7YHYq6DhO9KhT3HHvwaoRestzhXWtnI5qmBujG/kJCkMUFsfXL7pO8yh3oGPU56QrbiPKE8QSxlR
xrtFJFfvh4EdF3UrdTky6DuB1ATtExyzeoteaHyw/WTqbvWgjIieHCQsIAoFdy0sMt/aQs7jzcDw
BeTK1JVfpR8gyY295yQlXHnbVoJMFzPgHmFE6rxH+cA1xcnJ578uAjBdxscpLrgqWRoHZ3dyrEMF
+eak3eXl86H113gRKcdQ1b0lDA9OgeJbpdyv9uDL+VZxfPkb1JfLdRgIawuWEDLCLMaHcVLuO6IU
nldwNvnWjBGjbhSRPee6bngn1zsRN6VksB6zBDiSGn0rkTRa1LQVUvEAYPBw8MvlC0oqOFs7swyr
fV7LADfhPNLh5jjaYOdpKYpMf3EBm4PKn4jtct6tJJHPpuFzBqBvxdaEle95sJZoB8tcTLys8ySC
ofrTb67SPOiVHIh0Wz4hOxE1coOeG0Q5gIPrgXcmGultlhaPqOKIGrN0i9XAkfa5q/iPdPP5Wtql
SpsBkxMgsUQnXLfNaRbcUToDNWj5EZ99Jmb8XJi+gXPQzDf1khF0vWq17sdgkwwSTnK9vJ3I5VOk
cWi/axQPFmg4sNVZWoyPYp6QM3vWbO3QeGGedBrFchQT10H3cwlsiJoa0nbELQ9LDPDoYxSHBEoO
vVcB+nYYFzqwB5zHsR4YrRSIe5cgN+G827iVYsRgYfBSjIJja9bZxLqV6KsD0pYylNkufzvrIrN6
ksBPuEXClAsN8E7eYatc1r7RJPW+VJJFnlJELUdyJlUz4iDuiesF+HMtWg7u/RKed11Ya+Wx41zv
XaYKbGuk6tb70Yunr5hZw8v1/rSZ295gHoU5WlR2eut1PreIL4DfkTzWHyM11f5fNwT6HP+H9pA5
rPOahCQjKUDqXcMKCQgAZsdd4RI7DOQFQ96di1f5RlYFyZ/O0m1ImwVg7RaFBKbmFKxEgAKNtVeZ
NCFAypDTEy8fyBhy7j7GUUAW7YHfmyiE6g3rvbyTNh+BW04+OxE+xo3MFE+WF1bsMB7m/12puWmI
IWG1t2J570B+vXBS56YWhmSU3+JvQNvD82WnbZpvsHRysZlMLtt3m3CVLPQzNIPYgFDkK2sa1nRt
WRTIAe7DXWX4BFgV1xyppIMPsbWqiddFrT4+/pnFpzmqvQRLmJVy6C0j/+mZKAym3RobILMjGhFq
ofmph0c97tuuL6J72SQwyguW0TskrLwLx2+5HhgBuNuFDOf6uXU6ihBlpMGLGPSSzIaGYcejMjzY
DIWfOn/M703L+RYZIWlbTGn3wLkRwi5hJEOqkh8K/ePKW2h1Frr+dN2XFg/wyPZItB870hQzYm9p
eQZUKJP7kiYT1znWfKGlg2PkxugSaycKQN8rVeFUAw6eH2Ktk1vLbqRcs2vmB072476gl40HS+sC
3Sn57cGYUS+45shiSJG5gNZNFJHj2LTiWC2L/xFNE43IIIqoqTobHKKZFdnBKE26MHTZSG/JiMR4
UgmTpXWda36tAslFspx5fKADCG3Uwi9qwe/MVlVPjZMvJV0V+eNjqvD9ZfTg190COb4elFOCmE6D
FfCoBlFVhEBHeHvh7NFsQrJKalo48E7H62YSRqzb8IDLFAfBEqOTBpr4yWUPl8ixXkKAPAr1wLLY
CViCkOMSzZLXsqaV7uiFJ/ppSxBYSfZPoOzDoAN5p0YnIFyqbT4wUxKAaGHi5wzG91q4Jvsns1Hu
1lyxWs1oKJ97Xnl9XTeDJGVxJAjX2l7ZzWa21Js6DPxzXiMb24Sa9tUw2votRcC6KlvWvbriEWrJ
OcNoj4iEaK6duzhtVvOMVm7N2S7am0xcvtu9KxrExh1PXGugknFS2AQg8pcKo8JhaLAz58gaCF71
ZuEdOLCN7YKUQUGBgeGmbJtuh0sIjbfftM67SGf5jI+Blp0TsCrR5+GSeAnRp/iPTE4SucvG4vaT
+xzRsUYa61kHjRTorp7VshxcS2YH8AMpZSOq+yIXO5Xmnr91p9bc8crRc1R34ye4kfM5QuzxCTFn
uml4QlidOe3MOzbERTLh5ki0JlsbD6Q/wcwgn7fwt1ZtjXtTOca3TlvORxJ083fkPT22mrF5GcyB
zFbqKvNE6p84S4qym4zmyutiCiMnNAwZV1dwOXG8k1Z7dKwxvgM6S1hd4safc92qJ5caf1x3eQYB
unHEDQiH6S6wdPgpMrz0W1lN/CRcJXFDpVwE6mEuDE6sGQhZuUhtMQ/UQe++Xbsz/zYm/tOEh8EC
DZb/3Zj4+XvT/sdLXKu4iN9/GvL8+Tf/GvJ43h84hdwlEUg60OAtfuhfQx7f/MN1cCYy9bjOWkz6
VH9jnwXWRaZ/ng/H+OfUb8v7AyAlaVJ4FBbrohv8XyY9xIv/1DXC6Gi5YOdtB9YkdhfiAH9upKvJ
HjKMVBFYV687lX5BKVMgVz1Z5P4h0GgpfJFDycdGGqspVySFYmzbZEIO+zSqkZmHENt2dRvUT/QS
EFhZGWWj32ZYORhgW3EXlKdydKpdh8koBRsYOQfGKV6965IunNecEwcmrb5DGoedOvjEgilFpZCP
FL8c7P0UD2A94QFRua8+4VQG1NE7dbgO3OQ1GIYX2WQhCuWwmT7NbU+rdsimXdwbYtMSl3FRQymP
jOrAx4zYnHHSLKKL2QirR2eq4jN/BdoF5sf+BtPlJQ510myiMRn2tVWVt/MwFYjfLfF5ruv+lKD9
fw41IqOpbqIHcj0gxwbz8skz9FBbpinxJqb7sgPSCiEwGqb8SUXI7E1r1Ouk4bdRHMkT+9MnAAgY
V/y2v/XtCQNN1q6NSpQbBXSEVIfYbp9SnXgP+DOsS2hbAgUwWgK5K6du0WT7xkxyXhiAru3trcmy
jvShypAFcwmtprXXdhnk4Pk8bxWOFgKXVO9pS9INIFJQdtE92q+e7XQSdrbx+ggAojMgPSWSwj63
BlUN6moUdr47t3jR230wFO0nu5kSSLnxLLdGb9ZoTSe8cHVTOHwfTneefXPfJuINgoiDvxyfTRq2
L2ExiWMw1J+mdLJh1IjiS43g+Sgj7a3yyY82YCvRLbTOJkuUemzswio2tE+zWz/JgfkWEZ79IMsj
b6Xz0r1XXeNi3DDCRffdv4V1aF6Iv0y2jnLH8zTr760J5xuz0exuwypmzSSq9ziyr9SJa61hv45A
dTD1Z9INN11hhBdpta8KiP6a1J70gPM7VKehFVl/GTmyVO+1Us0XMVQwFkCcXNxcOyeAY9ZT6sIV
JEOlOxPcUbnrts+5ZIPO61vIL1/Ybbs7A03P1hzEd/LJv0AFhCKCmr069IndITa1xD0AEdls8nry
33xag8+zsXjkSQLculWYQb6j45Hvhd052A7cssjWWTEMXyI1l2IjiTwHo4CBHv9uUssVqb3m1vFa
GO7Q3MSlL2fg1CISZ13RSV6PckJQr82HwZFvcxO8iZowdLrM29pDRoTsLaZbY3tRVd8gGDVvhDLd
z07oP6tQfxccD2CyeJne1kyRqCipq+4x39K0CvyFoe2aEFdZO/gJhFIhY79rqvjku8FwGCWtVW5m
O2LTU+Sw3jZBg/3QDwE4r7tav+WxobvHup083lKzS4wufOhhS6zqKtW3ZCz1m4agzV0nEHbZFnGX
CECqi0k4U77vQpkHa7+bklNqiQREVKMxRhH249w2jhVuPQtZKydeua10i/bFQ2Uotet/tut8clbt
fCqEZ+xV20Q3qc/2jj3H2Dkh5W0gpmFX2AmtrzFLX0cHQkMOeuXkxx5dPUzEywiUYgeZ9iqtE+dC
UxrfhosI1R3AM/l9aq+TKq+OSYrapOw6fdODOF33Mle3Qw+yat0l88z0QzgHp/Xr2xEj+csAhKHL
YMmmakMYuaZZqEoKZcPKd4k+udP4ClyJpC0K6MMIwWPr8KdOmSPKW5lZhEI5tgHLpCork9Y4qB/v
kNLvY6Wqq4uFsurZdwjYcl0qk8jBMrGe9DzdhISUEmWRpSnmZMK07NEbTijGljz5/gvxpgnVfhfB
2feCekc372r6vctmNf2gi4IEjwb8LnKUnaGZ11Cxw+YbhkXoQh4Ak1XkLrE+pugOSIgyWlhhfY6z
7gsbi7sb2qzfF3M18JQiSZ/R5w2DS/cybr+ZBbvN1rO95mznYbDrlXxSjEb2loFRlM4owP7CT24y
D9ZNNNMoQ/u9kmyw2wIfOtQLUrDBOYiDmDyAYEEaHdzBHkFioRF3W/LO2LH9XaNR2nSeDE5j4cU0
6rLHcOFIeI3ybijWMXlgrf3R0XtavFG+vaKks9dECWS0zc2Kdg9skxXjhmojRuuhluXCTDMX67A9
3UZaUQ7CvlinGfhJTr7BxjFjeZzaKiR3qTrhd6m2uL2aD6esMVHnemA8kOkzvQoq9M6ODvUcfAVz
mB+UU9MtVd22S4evRLt0W0HHbIs+/lMp6+jg143ak39iQUH173oZPrZNAesmNzFtdL1zQXmX72qj
gcWSPHaiMS5DlDyAj/ePsPeJBxXZHa6qeTe6KZgN1KqOWLlw6HbO3NQbosZVsXL6ruWIPk6f7JR+
3NBxXR+rLlYuqWgtDbepEarcmuycwDXiEQMHPZ0JcphNOoDYYmaYxTYKAw7D6IkD43VosEtuYo8G
+KIRNCEVpAXQ2DGVWWZvvVbKxVehntK09BKQdTOlDKmqNuMM2l3rEv3MykzotK0EyWffp2uEmujm
6t4sTSPaaELiPlv4FT/npRiPBLTKU1cRyFZNxkA2W+4Ru4CKt2fckw4s/VnBNegj4tyWYDeZs2L6
qeG+T0vsG8qd5NiLoLNWDor8RxxZMIwX4ziw863H0ZwogSVGzuyMmwal1kMz+dVu8CuY8tfkubxg
eU3pedXwEJA2REKpF3sK8ekTy72qNU2TVZBbS8wEwrKNmFF7DWWHn4XdDUFfaWvrVOsO70hr1hrO
hDl1AeippBdo3tnbVv4U+QkR8pgn5pSD9tTIAuW33/Qd+vSpO2VRahwQrxHMx7kMDCdijOBeOobb
rst2ruIdBB7iLfyAcWNkdVjKVCVwbScg+cdEJBc/qqtHmscDAWjuFOPADRwsqSEnWFQW+/kaKIiq
oSdccKq9hqYEmYMZfN1N2JBDmCdLJCHpDNMrxH97h2nwxsJRiz3wmmPok4uFATwO180Sc6iAAQJs
ixvk06OR39nTcoilAsLmlZPLcrCX2ETATotgkszjtepw+e4ACpCx2KStgOnVtq8s3vPW4iIRJyK/
oh/FmOdxxFzxjZIJlqWLhB2ALd4ckm0nyA2OuW5blyml7UYkIlSNT2BEGuFrdqJb7QzQtJbAyKHz
nIMb+aRIor5xLs01W7KhN31jQzTcBnxpR8gOpFBmhT19EI0YfQmouT8RE+idQjsiuTKeeu/cCEqz
TaikCm7JtLDW5uS9tksS2LRkgrmKdLBsyQkzR0ccakaoNUS0xH2ztM0ouAH4sY8RW7CXmMFtlkzT
d9MIFV3BWL6znsbHeDAkLQTbfe37tJnWaZ174c4AxOhvWnBqhEDn9W4qWuuxk6W1ddyhWJXMb7cM
14KbYMy7rYPvgp5KPwAGU8NjgzQfLMgwrhFtmqsy1dE7KK+xIkuktHcyhmuAOUiT6gCueJ0vTnIr
bKut4UbuzuyF94FwaTwjSZrvfMInnvSAZmTNep7ARJAYtwuRvSopCI10GFocS9wZR1ji4ih0iM6J
+/UkKuVerLkFJSh0eSDUmxeYF3+aZ+vtVHiS2l9AJSKHbo2xNEpZmvNiN7jauUkyoziMglpcg298
LuvMYkpYb1tdJfexYlqdJHl/l3ieeWKR6KEiRzwsHpafhqT1W2sJiYqMSkPRSFyCaWROdl8/VSto
HDzrtZ2cNBrabZYDdVFBm32LUteZ915G7nVcde6PviWQ0QUgwqQlC8bb3jRHazfUdvmniuTf5/9/
PP+TpfHb8z8zcRSeP5/8r3/nb3mnsAmCs0y0WnQECHdDs/S3vFNKfmuZU/wne+fW3LaRROG/4so7
WLhftiqpWt50s2zHkp2NX1i0RJMAQdxBEPz1+w0BygRlOXHGD6itRfJkSUPMcKan+/Tp0wbhPyy2
r4G/RR84VSfkNx0TkpeAC44UT3WAyYNBrrpQFh2YoT8S+J+p66uuasELMmhFB6GUuF/AAieyRLOy
0hC6Sqs35eZxmYcwiz+frMY3aJ1dgh68mrMPOMMVsp0RbpIdH+AGFNS7m2Hpzf3tG98jMfEXrLwD
7e0r00lweFwXNiwQPnqozylEtZZroRWa2m1gIZcR0EVd0Tm9yES4+jq1PuXBbuk+0KvNLeAyJHpO
q8aYTKYfXcN6SZebR9gMrrMkoDRXqudczLKlAOCicuG7KoDp6zIzc8W8ge62vwpzL5hl9IRT6xsb
Ytrsvk6LaaD71nWOy/AuIAJF/SKYpVExwlaB/BoZlWT61qYn07DaGh5FGOEmXa3vUg8BPAgn3D1O
POYluNepidXR9Sn160xL/A81vMabcJYiVLjf1mE13dBv1djcOAWK3Bbs+DeuhvbpJ4Ueu7QEXW4o
wea2H6mORSM8qOHJ/iYoqBC6q0jOm9HE2C5nHnwLhA3QHEIlJPPzi8OX/3+r8RdWA3kD0afiZdTw
DRKeq1fj+TouOqBh+4et6fDsgYVGNaLUkJIdKMLwUI+mQ1gVk37yqk4JTdNE7ggaCno4RCN+DLvK
wkR8tR3WgDBbRT0ZpqGhqzDHf4AebjrnPFikiQ0I02TNNEFpP6dj0twyQW/T0V/vVYt+yxc4W8g2
ihAOHCe/VQoTDZgNbRDQJ7ICdBYpqvgTBQNbGxHWXObbRHk9w+7hWygb6EdpPHLgNdzGS3rBZEZ5
7aaVMzZDD+8LVOYOJzwZxdFSuaFpijZM0Pq4o4HG7kNAxEMPuJgUqJakMXXcQUrlfF4PGU+b6hA0
6Qa8nSHRldLZlffeDYlDEXRfQYDaUMOJu0UX2dnvFLi+pXkiiV4KjE3Kgi7TPEF12nbXIye0rzUK
eGYlgdlqmT6WllaNyyABvtlmwSiDEXiLzVjiC9L8aauSZrOhjIS5MpmRHp/W6n5/YcXo00ZL/UK0
KP7Dq7fBJE/WPmWW5iTcZW8zULGJslwXcyTrjWnobLjc0atAjtXm8ze476yUOS4i16NqtvTfO8tV
DFlK218ma+QaiJtmwypJ8IGL4G1WeyrUs/UeLSNKUEugZCH+gTomt9YYL9kaVpsS3ZY4zK/XvnO7
0sBVNWPzHnUrAZI6F96mvExMWjzMQmLD2otB+kjZj/WZeqH4gYZwVv3RKrb1aFuISaAjNy5KsuVh
japiRowwCd3y8yZHSGe321wnkebf0JGevk36bhLvnamCKjFRYxqNyzXSEPTIdIYpIjjezLsu6lgd
uWsEZ/z9TPlYGz6KMGppISBL7T30791UN5feUNlu6is9XgX3ToB5zjV3i1RplU5hggO65ko9zneq
OY6EtIvlLi92JcJaKVrwEzTVPiW7xLwhc3tVR7PNSLeMdFzmWTU0QsSIDFJC9GJJx2GoTNZBeo/+
wkd3t3+N9JszXFLoO1UiX51o6h69JUo091bwKUgL8yIAxBhVQRVNVC9AUEH3Fqh2BeNiS1NnQZkI
Aensii3hZsvfvTiIp2Sk6pEOhWxERnK0dTWQ7FwoABTWVaoH2qfa3CPInuU3aAB83tfgFDiAySQg
IXtpRah9IzTmDhW8+ZFPrgnx5MS8XO1BAEyoIgj68G+Ewv9RcjRM1s6O9u7AgoRNdXqhuXyDMR0i
p3aATz8zgg8ZHQZvI3W1mRru56WXq9e0tqbeN7GVe25buoIgHm2OkTjx3yNRBlmSGkPUyxBOTnwv
u1ejnUv7DW/9fg8kMs7z/W1eZOHUReBsos9w5/frkqorSMyTaKcth4WuqO98O9sDdaw3E4iFq1FJ
lDBeFQbdqhHWudKQyx35SxfYRl9eFdZWv8kVlQ4f+ir5AKDFKrooIuhmQAXb0qvGVgVmrFpC+dMK
1A/1zFSHhaIBIG1TOrADPVO5tSftvl9Hd2vFqN/RIkS91ooc3V3PtlFZrhSiPCCxagxzmt40wPwT
o87XU16VwlAFGTbPVuhWgR5MvLbf0Cfxs7+1VyNau4ZX25S+r6W7VcbOnvVM9rlFpjdE7cVQv6C/
7I5p+2pdJ1vCqcAu7vA3rspoa1+7ewc6dGYJIeF0UtG3fILaIn3oqtAem3SLHyIS+FAWIZQnUtNa
SePNiD5Bga+hpK0sNnS7nYa0xKWc/7Vf8fvIL1xUNmhMZEbR1FkqGVyNPBnXsy2kRMdwh5rpz9N4
Ca3Q3d/lMcl6GB1Lol1HGVYuiA5VCTUcI9SAsyhlS1Gle1vrzpSevnMvBcRxfZrfbje5dTfTkfmh
UeekrBWiZvS9d2a62MKUpPS7nr2xssC4UENNu6ZZ+HoahNCO14JPhzwEpeDexr1cgYjHof7JtvPX
AR3Lr3Jr99GtEHl1fPAH+pXYV6XqR/eet/0DKXHIP4mzsFdI2W9nQld4Gd7rWnnjmEUmhO+oq8k2
9PcgoxA6tNtSMwTSZhG8WQKpWZp+ybJSHfsevdGsfRlfmGbpj2dEkZMUGPI13ld2Ye7gvIAge5dh
QBWvQXBeu959bdaXcRhpN3s7KKdbvU6nhUvst3P5xEhguVvTf5ev7deBxiW0U+gOsK4Qd1pry3AK
emAN1Y11l6wpmIEN6d/UaX61zFLEIbcGDRKLEjmKFdcLORD7z3C9+081Kynfr53HGJXE4WoZrqYl
rLmLXbRT0EWYUQlNUcJb4NN3tC4l/wwJnxevbpM0n40KiyZwm9n7mFoFupD5013q0zXTNsMrbaX8
UXpJIAqVHw0/0bGFZXnlbvcw5nyfVqqzGcLxu51/vdqa1BIrWLnKVZAxznD0XZhlKIMb1nTpVMZU
D5EEhmqgXSyd4I+KPshXe8Wlxiu/QXENXRtl+cVQEucaRgfYghOi/pegm2zFpO81c6Neu6CvYFnc
5Hus6jSjMHxcufXeiD6jICXSUT5CFmv2rJJ6aANVuLnJaEff9bj6WCB/4XAUU/R0YH6w+zbuW5qV
ehWtLFb6WhyyONhYuYGkMHpj5NITW599MMoqMiAL12T53OXEyqHABTTf2ieVj7AcjMD3hrlx7OxP
CgGifXSdGdsciY4gpp+ZhTZl6MNBHEZJRtaw6TD1P+NetxMRXVwmhwbLv5eLrH6/yEvUZ46Op/jp
u9iPinsk7gq/qH/0l74/0KvFSWvnB7zEQrwBnKhORSbB75m7fnilw6t8b4RwzhuXj4tffzG8gQU7
WjjEeN889B4McUXbHyseXjklWzY3p2gJRgPW01Dqe4vw/fk1q/n93+nMYP4IXjH2uWH9h+IUttBV
0z2HOl5YhbMxTlbBHdCizzEsIoXT2Tv2wFGRX36aPatDdHSyQV7aAt+f2c+bvUbZ0d/bAi9O3jYH
GiCKQ9T19BWfLgLEj4FozCqIHn2bviHiN8n5m87ApC2hJdgqh4fd1Jm/rg4o1CQFDN1JPM0H9mgT
EMuCT3XC9n9yAuCoWHByDnMUk+wsgipKtBEmsnt4BITRkpu9PnBsmmcBWTazP7OCrj2gwI9+LCpV
xIenbwcBQUNXehWAaEU9IYTmp1me7gFPG7ie5kJs/GooemYNvWdy/D98EMwB9p45Qic7POfWAPCb
rULxNAiXeHpnDQxL1QHrpQ6ECUxH4TD/nZ0EB9afrdsoLBjN8oC8920PWLI3gmGy0T0KxzWrmSRQ
ZOcg6ANyD5plWaj/i6d3i0Daxv6bruGLfoHJRtdd3UPe45ur4GgDi8yFKg7D4WnsT5/uRbwW2YPA
JB1LsyA1NF/12b3IeQBYaIVO+nUQyBGJvJiUHSA8aMVaWpN/dhKECIxtIYnosBHE0ztraLE5ZRfB
GeiWCQkaPYnjJE/NAYSrAVokOpXr7cXZN5uIToshGyaYKm4yXzUF8M0qnN0M8MEdMr70If3qPfTr
QKBWJLsIBoGiihusGVjX0z0AUV7VbJIQRmstexcnuy5pM2lrQPoe9WcC5eY5WwRrQG7PNg1qSA9P
7+5FzcBtk1yFw2lnGVQRdJ3uAU7HABRBRFB0CuHpnTHUSKLKuoY6PYo9C+KFcQaWYABAYugRJQge
4umdP0B6+1lVzA/HB+6g6bIMLHR4zuIDl9oXDdaZBxGmn6ugif0peQYMwgATt8dEx+nwnLlFrjEA
UjJQ72k95N7tBZ2KJlnYkCtR44v2IO80q8DZOjUIjjmAaU0C8Hgj9u5SIMiVBk9NuozD9gJDbqze
MwhZNLkDVRBQ5eFpDHCP4gRdg4oieSJAEQGILJQAv70KmoqTSJW/The9w0f1aP6a6WjNAX3Y/Wu5
iJ9g/eeJhJejRXOA60MDiqMP/CxS4DBYnkHlQf+8ArBd6UARW8DckUr9dqTkeqDsLoQo96vv1C/3
mCDBk90FBh6Qixya3UbL5zCy52ALDgTQFmvvXUaBL8mVdZGImokVPehqjYsgItDTewE4GcQA5MRr
l6l/FkGkOyQtIqW+IqemExKcTd9i+hTsHvNN7a7rk0FEyVU6WHJxh01kR502Xj5zkTwXg0luFZDm
yZHsmUEwbE16FTAIyPqietmehTN32cEsQn52qTHvq3MAB1TWLOIigQ/hDjttaHS2F4BSocviP7TO
WI+OgmFA1ZW1BHQl5nKhV0obDZz5ydhDpAUwFFB/D0/vogVKKqXz7KbFLEXq6OTAn94Ktjegb4om
ZEQbg9C7W0EH6ZRFT8gsuZwDBF3boOj55cAh4e4UN6h4+hctoDIhaxYxCJBKdFOklI87/nQvOBa5
F/JKbIe+rgJgt6yfZIpzj3gIZUTNKpyZRQ9mClVGYFbNJ/XILFI5oMpOHxAFhWNSJ8eI4NxNJGJE
IBxKRrtJ+ncUNAJa2csBPwgpkSd2jVjW06PgASs6DryTYx6yf6vAlyTtIaiknEkxtQfhgB2frgL5
BYTTXeFMNgahiVf7dCJ0hC8k9wIpZ0IG4FOqDg/P+V7wBhBUhJR/u069gxK44XXZK1IkXXEWybO0
4eHZKmiCguLAw0GZ6bDgfdoF4u6W3QXGAKEnSEjHnDuHq3MWRE6e1SG8ftolfYucDkVlvNQ/B9Qg
oVA6J+TQvzrFp6uA9NqAcgXwZ7fxRnq0CwzUwaWDBo1kIo2ZXZJWh+fcOeCU4D5hEdtETP8soskm
lj8LVFGTVDWQYD883bMAiAI5lTVqk7t92gR4iNIYkkG+HfY1kUezCc5MAdk21yPJhElsVqd3BpGT
oDU785+bAmImEyxGqNw1szwDUVibAQQPXOmW9NWnXWBRiSh5CASSqOl0vLDb+Z/FjA45WTwC1Anb
XdA/t8A+NLSQuhDYBZRhkGyEpdw8XVNAhgG0ldQ8nUEOT+9QFGzYM1WKH82/i8gZUEC3X+Bm4h5i
EClowHc6rtLfdQ7+xrF5qv8Zrfzw8VD54y/yb9X+vPQLR5/g+c/beperx19/EYU9nV8UlfvNZ38t
DPqtk4w7VKWc/PBYpXL4nPbP2wk+/+jOZx1ndfzHS3+RzbOHVX34Qd2+5pv5hvqhf4fzz/PN/LQg
B2vEzvv6Jr/+0nnPE1vwFwPn67NxBQQnPW5G766oO/CBNS4/8Hoe5fP8+Iria0QKCgdAduTRPPS/
xNmZUGtDbJQeOw7jbP4YH99SvHVTTiI/chQtHgqfEt7O4AdOruzg40U4r+bZ4nTkhuAmPXJbYvYq
/vIKFZVy87mrj9uQCGU/Zcqq+4/dXdhws2RHvljEiPp2R24IP7IjX7Livn+64i2bTnbgq8f5qrMB
Wz6C9Lg0CKFqvXsim1S/9NDRoz8/syJN4lh65LjqfnkNQ0d22JvntqnJcUoPzADlw7ru7Ismeyw7
9Ou49PNny9wUOsmOfTv3o471aDM88uNmdTiPHk+Xo61QlR86z+cPqzJfFEVnT6OWIzKU0uP7Dyt/
Oe8WGDcZH/mhuQtojNzZ2XRmFeCx/Nh57vN/knRsUwvQ/4zRY/p4H9/z4Jw1qLf00HFUnNmQlogm
O/KbxeeMnlrd1W7gWfmht/PuvdWWmcgPXL26nG+SfOV3r3XGF4jizxj/epHli46lalmgP2Pw28XO
f+hcYwwu2NY/Y/A/42x9HOmwBZscpPTQBz2v0TyLuSm726XhfvycD3hZMOxE5OCfBAlvV353xZs6
F9m3frsO8Ui6UU3LjpMeOlsszzUcDiih7MDvFlGU1+F2fhYmIFctklOyw79fxY+LV1f5s7utKTSU
Hf4uLhGW+9ZGFPjZTwj7mg94vhFbeE72/e9Z/UWeLzouRUudkR97140qW3RddtwPxXx13BjCprSp
K9lhPy6yDTdbZ+SmIll65G+1K2ngRdmhv9/wXtJK/WWvFdnx/fwhjnK/47kZDeIovTAv68R+962/
hTQ9Cac8x5+Ogijf+rMuuCZ+4yFczLPf/gsAAP//</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_xlchart.v1.11</cx:f>
      </cx:strDim>
      <cx:numDim type="size">
        <cx:f>_xlchart.v1.13</cx:f>
      </cx:numDim>
    </cx:data>
  </cx:chartData>
  <cx:chart>
    <cx:plotArea>
      <cx:plotAreaRegion>
        <cx:series layoutId="treemap" uniqueId="{2DBE8D5E-E197-4F77-8794-9565C7D74200}">
          <cx:tx>
            <cx:txData>
              <cx:f>_xlchart.v1.12</cx:f>
              <cx:v>Funded Loans</cx:v>
            </cx:txData>
          </cx:tx>
          <cx:dataLabels pos="inEnd">
            <cx:visibility seriesName="0" categoryName="0" value="1"/>
            <cx:separator>, </cx:separator>
          </cx:dataLabels>
          <cx:dataId val="0"/>
          <cx:layoutPr>
            <cx:parentLabelLayout val="overlapping"/>
          </cx:layoutPr>
        </cx:series>
      </cx:plotAreaRegion>
    </cx:plotArea>
    <cx:legend pos="l"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30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70">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styleClr val="auto"/>
    </cs:effectRef>
    <cs:fontRef idx="minor">
      <a:schemeClr val="dk1"/>
    </cs:fontRef>
    <cs:spPr>
      <a:pattFill prst="ltUpDiag">
        <a:fgClr>
          <a:schemeClr val="phClr"/>
        </a:fgClr>
        <a:bgClr>
          <a:schemeClr val="phClr">
            <a:lumMod val="20000"/>
            <a:lumOff val="80000"/>
          </a:schemeClr>
        </a:bgClr>
      </a:pattFill>
      <a:ln w="9525" cap="flat" cmpd="sng" algn="ctr">
        <a:solidFill>
          <a:schemeClr val="phClr">
            <a:alpha val="75000"/>
          </a:schemeClr>
        </a:solidFill>
      </a:ln>
      <a:effectLst>
        <a:innerShdw blurRad="114300">
          <a:schemeClr val="phClr">
            <a:alpha val="70000"/>
          </a:schemeClr>
        </a:innerShdw>
      </a:effectLst>
    </cs:spPr>
  </cs:dataPoint>
  <cs:dataPoint3D>
    <cs:lnRef idx="0"/>
    <cs:fillRef idx="0">
      <cs:styleClr val="auto"/>
    </cs:fillRef>
    <cs:effectRef idx="0"/>
    <cs:fontRef idx="minor">
      <a:schemeClr val="dk1"/>
    </cs:fontRef>
    <cs:spPr>
      <a:pattFill prst="ltUpDiag">
        <a:fgClr>
          <a:schemeClr val="phClr"/>
        </a:fgClr>
        <a:bgClr>
          <a:schemeClr val="phClr">
            <a:lumMod val="20000"/>
            <a:lumOff val="80000"/>
          </a:schemeClr>
        </a:bgClr>
      </a:pattFill>
      <a:ln w="9525" cap="flat" cmpd="sng" algn="ctr">
        <a:solidFill>
          <a:schemeClr val="phClr">
            <a:alpha val="75000"/>
          </a:schemeClr>
        </a:solidFill>
      </a:ln>
      <a:effectLst>
        <a:innerShdw blurRad="114300">
          <a:schemeClr val="phClr">
            <a:alpha val="70000"/>
          </a:scheme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phClr"/>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5.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2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301">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7.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8.xml><?xml version="1.0" encoding="utf-8"?>
<cs:chartStyle xmlns:cs="http://schemas.microsoft.com/office/drawing/2012/chartStyle" xmlns:a="http://schemas.openxmlformats.org/drawingml/2006/main" id="30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0.xml><?xml version="1.0" encoding="utf-8"?>
<cs:chartStyle xmlns:cs="http://schemas.microsoft.com/office/drawing/2012/chartStyle" xmlns:a="http://schemas.openxmlformats.org/drawingml/2006/main" id="270">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styleClr val="auto"/>
    </cs:effectRef>
    <cs:fontRef idx="minor">
      <a:schemeClr val="dk1"/>
    </cs:fontRef>
    <cs:spPr>
      <a:pattFill prst="ltUpDiag">
        <a:fgClr>
          <a:schemeClr val="phClr"/>
        </a:fgClr>
        <a:bgClr>
          <a:schemeClr val="phClr">
            <a:lumMod val="20000"/>
            <a:lumOff val="80000"/>
          </a:schemeClr>
        </a:bgClr>
      </a:pattFill>
      <a:ln w="9525" cap="flat" cmpd="sng" algn="ctr">
        <a:solidFill>
          <a:schemeClr val="phClr">
            <a:alpha val="75000"/>
          </a:schemeClr>
        </a:solidFill>
      </a:ln>
      <a:effectLst>
        <a:innerShdw blurRad="114300">
          <a:schemeClr val="phClr">
            <a:alpha val="70000"/>
          </a:schemeClr>
        </a:innerShdw>
      </a:effectLst>
    </cs:spPr>
  </cs:dataPoint>
  <cs:dataPoint3D>
    <cs:lnRef idx="0"/>
    <cs:fillRef idx="0">
      <cs:styleClr val="auto"/>
    </cs:fillRef>
    <cs:effectRef idx="0"/>
    <cs:fontRef idx="minor">
      <a:schemeClr val="dk1"/>
    </cs:fontRef>
    <cs:spPr>
      <a:pattFill prst="ltUpDiag">
        <a:fgClr>
          <a:schemeClr val="phClr"/>
        </a:fgClr>
        <a:bgClr>
          <a:schemeClr val="phClr">
            <a:lumMod val="20000"/>
            <a:lumOff val="80000"/>
          </a:schemeClr>
        </a:bgClr>
      </a:pattFill>
      <a:ln w="9525" cap="flat" cmpd="sng" algn="ctr">
        <a:solidFill>
          <a:schemeClr val="phClr">
            <a:alpha val="75000"/>
          </a:schemeClr>
        </a:solidFill>
      </a:ln>
      <a:effectLst>
        <a:innerShdw blurRad="114300">
          <a:schemeClr val="phClr">
            <a:alpha val="70000"/>
          </a:scheme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phClr"/>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dk1"/>
    </cs:fontRef>
  </cs:wall>
</cs:chartStyle>
</file>

<file path=xl/charts/style31.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2.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3.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01">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chart" Target="../charts/chart4.xml"/><Relationship Id="rId3" Type="http://schemas.openxmlformats.org/officeDocument/2006/relationships/hyperlink" Target="#'Loan Quality &amp; Risk Overview'!A1"/><Relationship Id="rId7" Type="http://schemas.openxmlformats.org/officeDocument/2006/relationships/hyperlink" Target="#'Economic &amp; Geo View'!A1"/><Relationship Id="rId12"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chart" Target="../charts/chart2.xml"/><Relationship Id="rId5" Type="http://schemas.openxmlformats.org/officeDocument/2006/relationships/hyperlink" Target="#'Fraud &amp; Anomaly Detection'!A1"/><Relationship Id="rId10" Type="http://schemas.openxmlformats.org/officeDocument/2006/relationships/chart" Target="../charts/chart1.xml"/><Relationship Id="rId4" Type="http://schemas.openxmlformats.org/officeDocument/2006/relationships/image" Target="../media/image3.png"/><Relationship Id="rId9" Type="http://schemas.openxmlformats.org/officeDocument/2006/relationships/image" Target="../media/image6.png"/><Relationship Id="rId14" Type="http://schemas.openxmlformats.org/officeDocument/2006/relationships/image" Target="../media/image7.emf"/></Relationships>
</file>

<file path=xl/drawings/_rels/drawing2.xml.rels><?xml version="1.0" encoding="UTF-8" standalone="yes"?>
<Relationships xmlns="http://schemas.openxmlformats.org/package/2006/relationships"><Relationship Id="rId8" Type="http://schemas.openxmlformats.org/officeDocument/2006/relationships/hyperlink" Target="#'Economic &amp; Geo View'!A1"/><Relationship Id="rId13" Type="http://schemas.openxmlformats.org/officeDocument/2006/relationships/chart" Target="../charts/chart7.xml"/><Relationship Id="rId3" Type="http://schemas.openxmlformats.org/officeDocument/2006/relationships/image" Target="../media/image9.png"/><Relationship Id="rId7" Type="http://schemas.openxmlformats.org/officeDocument/2006/relationships/image" Target="../media/image11.png"/><Relationship Id="rId12" Type="http://schemas.openxmlformats.org/officeDocument/2006/relationships/chart" Target="../charts/chart6.xml"/><Relationship Id="rId2" Type="http://schemas.openxmlformats.org/officeDocument/2006/relationships/hyperlink" Target="#'Executive Summary View'!A1"/><Relationship Id="rId16" Type="http://schemas.openxmlformats.org/officeDocument/2006/relationships/image" Target="../media/image13.emf"/><Relationship Id="rId1" Type="http://schemas.openxmlformats.org/officeDocument/2006/relationships/image" Target="../media/image1.png"/><Relationship Id="rId6" Type="http://schemas.openxmlformats.org/officeDocument/2006/relationships/hyperlink" Target="#'Fraud &amp; Anomaly Detection'!A1"/><Relationship Id="rId11" Type="http://schemas.openxmlformats.org/officeDocument/2006/relationships/chart" Target="../charts/chart5.xml"/><Relationship Id="rId5" Type="http://schemas.openxmlformats.org/officeDocument/2006/relationships/image" Target="../media/image10.png"/><Relationship Id="rId15" Type="http://schemas.openxmlformats.org/officeDocument/2006/relationships/chart" Target="../charts/chart9.xml"/><Relationship Id="rId10" Type="http://schemas.openxmlformats.org/officeDocument/2006/relationships/image" Target="../media/image12.png"/><Relationship Id="rId4" Type="http://schemas.openxmlformats.org/officeDocument/2006/relationships/hyperlink" Target="#'Loan Quality &amp; Risk Overview'!A1"/><Relationship Id="rId9" Type="http://schemas.openxmlformats.org/officeDocument/2006/relationships/image" Target="../media/image5.png"/><Relationship Id="rId14" Type="http://schemas.openxmlformats.org/officeDocument/2006/relationships/chart" Target="../charts/chart8.xml"/></Relationships>
</file>

<file path=xl/drawings/_rels/drawing3.xml.rels><?xml version="1.0" encoding="UTF-8" standalone="yes"?>
<Relationships xmlns="http://schemas.openxmlformats.org/package/2006/relationships"><Relationship Id="rId8" Type="http://schemas.openxmlformats.org/officeDocument/2006/relationships/hyperlink" Target="#'Economic &amp; Geo View'!A1"/><Relationship Id="rId13" Type="http://schemas.openxmlformats.org/officeDocument/2006/relationships/image" Target="../media/image19.emf"/><Relationship Id="rId3" Type="http://schemas.openxmlformats.org/officeDocument/2006/relationships/image" Target="../media/image2.png"/><Relationship Id="rId7" Type="http://schemas.openxmlformats.org/officeDocument/2006/relationships/image" Target="../media/image16.png"/><Relationship Id="rId12" Type="http://schemas.openxmlformats.org/officeDocument/2006/relationships/chart" Target="../charts/chart11.xml"/><Relationship Id="rId2" Type="http://schemas.openxmlformats.org/officeDocument/2006/relationships/hyperlink" Target="#'Executive Summary View'!A1"/><Relationship Id="rId1" Type="http://schemas.openxmlformats.org/officeDocument/2006/relationships/image" Target="../media/image1.png"/><Relationship Id="rId6" Type="http://schemas.openxmlformats.org/officeDocument/2006/relationships/hyperlink" Target="#'Fraud &amp; Anomaly Detection'!A1"/><Relationship Id="rId11" Type="http://schemas.openxmlformats.org/officeDocument/2006/relationships/chart" Target="../charts/chart10.xml"/><Relationship Id="rId5" Type="http://schemas.openxmlformats.org/officeDocument/2006/relationships/image" Target="../media/image15.png"/><Relationship Id="rId15" Type="http://schemas.openxmlformats.org/officeDocument/2006/relationships/chart" Target="../charts/chart12.xml"/><Relationship Id="rId10" Type="http://schemas.openxmlformats.org/officeDocument/2006/relationships/image" Target="../media/image18.png"/><Relationship Id="rId4" Type="http://schemas.openxmlformats.org/officeDocument/2006/relationships/hyperlink" Target="#'Loan Quality &amp; Risk Overview'!A1"/><Relationship Id="rId9" Type="http://schemas.openxmlformats.org/officeDocument/2006/relationships/image" Target="../media/image17.png"/><Relationship Id="rId14" Type="http://schemas.openxmlformats.org/officeDocument/2006/relationships/image" Target="../media/image20.emf"/></Relationships>
</file>

<file path=xl/drawings/_rels/drawing4.xml.rels><?xml version="1.0" encoding="UTF-8" standalone="yes"?>
<Relationships xmlns="http://schemas.openxmlformats.org/package/2006/relationships"><Relationship Id="rId8" Type="http://schemas.openxmlformats.org/officeDocument/2006/relationships/hyperlink" Target="#'Economic &amp; Geo View'!A1"/><Relationship Id="rId13" Type="http://schemas.openxmlformats.org/officeDocument/2006/relationships/image" Target="../media/image23.emf"/><Relationship Id="rId3" Type="http://schemas.openxmlformats.org/officeDocument/2006/relationships/image" Target="../media/image2.png"/><Relationship Id="rId7" Type="http://schemas.openxmlformats.org/officeDocument/2006/relationships/image" Target="../media/image16.png"/><Relationship Id="rId12" Type="http://schemas.openxmlformats.org/officeDocument/2006/relationships/chart" Target="../charts/chart13.xml"/><Relationship Id="rId17" Type="http://schemas.microsoft.com/office/2014/relationships/chartEx" Target="../charts/chartEx2.xml"/><Relationship Id="rId2" Type="http://schemas.openxmlformats.org/officeDocument/2006/relationships/hyperlink" Target="#'Executive Summary View'!A1"/><Relationship Id="rId16" Type="http://schemas.openxmlformats.org/officeDocument/2006/relationships/chart" Target="../charts/chart15.xml"/><Relationship Id="rId1" Type="http://schemas.openxmlformats.org/officeDocument/2006/relationships/image" Target="../media/image1.png"/><Relationship Id="rId6" Type="http://schemas.openxmlformats.org/officeDocument/2006/relationships/hyperlink" Target="#'Fraud &amp; Anomaly Detection'!A1"/><Relationship Id="rId11" Type="http://schemas.microsoft.com/office/2014/relationships/chartEx" Target="../charts/chartEx1.xml"/><Relationship Id="rId5" Type="http://schemas.openxmlformats.org/officeDocument/2006/relationships/image" Target="../media/image15.png"/><Relationship Id="rId15" Type="http://schemas.openxmlformats.org/officeDocument/2006/relationships/chart" Target="../charts/chart14.xml"/><Relationship Id="rId10" Type="http://schemas.openxmlformats.org/officeDocument/2006/relationships/image" Target="../media/image18.png"/><Relationship Id="rId4" Type="http://schemas.openxmlformats.org/officeDocument/2006/relationships/hyperlink" Target="#'Loan Quality &amp; Risk Overview'!A1"/><Relationship Id="rId9" Type="http://schemas.openxmlformats.org/officeDocument/2006/relationships/image" Target="../media/image17.png"/><Relationship Id="rId14" Type="http://schemas.openxmlformats.org/officeDocument/2006/relationships/image" Target="../media/image24.emf"/></Relationships>
</file>

<file path=xl/drawings/_rels/drawing5.xml.rels><?xml version="1.0" encoding="UTF-8" standalone="yes"?>
<Relationships xmlns="http://schemas.openxmlformats.org/package/2006/relationships"><Relationship Id="rId8" Type="http://schemas.openxmlformats.org/officeDocument/2006/relationships/chart" Target="../charts/chart23.xml"/><Relationship Id="rId13" Type="http://schemas.microsoft.com/office/2014/relationships/chartEx" Target="../charts/chartEx3.xml"/><Relationship Id="rId3" Type="http://schemas.openxmlformats.org/officeDocument/2006/relationships/chart" Target="../charts/chart18.xml"/><Relationship Id="rId7" Type="http://schemas.openxmlformats.org/officeDocument/2006/relationships/chart" Target="../charts/chart22.xml"/><Relationship Id="rId12" Type="http://schemas.openxmlformats.org/officeDocument/2006/relationships/chart" Target="../charts/chart27.xml"/><Relationship Id="rId17" Type="http://schemas.microsoft.com/office/2014/relationships/chartEx" Target="../charts/chartEx4.xml"/><Relationship Id="rId2" Type="http://schemas.openxmlformats.org/officeDocument/2006/relationships/chart" Target="../charts/chart17.xml"/><Relationship Id="rId16" Type="http://schemas.openxmlformats.org/officeDocument/2006/relationships/chart" Target="../charts/chart30.xml"/><Relationship Id="rId1" Type="http://schemas.openxmlformats.org/officeDocument/2006/relationships/chart" Target="../charts/chart16.xml"/><Relationship Id="rId6" Type="http://schemas.openxmlformats.org/officeDocument/2006/relationships/chart" Target="../charts/chart21.xml"/><Relationship Id="rId11" Type="http://schemas.openxmlformats.org/officeDocument/2006/relationships/chart" Target="../charts/chart26.xml"/><Relationship Id="rId5" Type="http://schemas.openxmlformats.org/officeDocument/2006/relationships/chart" Target="../charts/chart20.xml"/><Relationship Id="rId15" Type="http://schemas.openxmlformats.org/officeDocument/2006/relationships/chart" Target="../charts/chart29.xml"/><Relationship Id="rId10" Type="http://schemas.openxmlformats.org/officeDocument/2006/relationships/chart" Target="../charts/chart25.xml"/><Relationship Id="rId4" Type="http://schemas.openxmlformats.org/officeDocument/2006/relationships/chart" Target="../charts/chart19.xml"/><Relationship Id="rId9" Type="http://schemas.openxmlformats.org/officeDocument/2006/relationships/chart" Target="../charts/chart24.xml"/><Relationship Id="rId14" Type="http://schemas.openxmlformats.org/officeDocument/2006/relationships/chart" Target="../charts/chart28.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8.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14.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22.emf"/><Relationship Id="rId1" Type="http://schemas.openxmlformats.org/officeDocument/2006/relationships/image" Target="../media/image21.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26.emf"/><Relationship Id="rId1" Type="http://schemas.openxmlformats.org/officeDocument/2006/relationships/image" Target="../media/image25.emf"/></Relationships>
</file>

<file path=xl/drawings/drawing1.xml><?xml version="1.0" encoding="utf-8"?>
<xdr:wsDr xmlns:xdr="http://schemas.openxmlformats.org/drawingml/2006/spreadsheetDrawing" xmlns:a="http://schemas.openxmlformats.org/drawingml/2006/main">
  <xdr:twoCellAnchor>
    <xdr:from>
      <xdr:col>0</xdr:col>
      <xdr:colOff>90484</xdr:colOff>
      <xdr:row>8</xdr:row>
      <xdr:rowOff>28576</xdr:rowOff>
    </xdr:from>
    <xdr:to>
      <xdr:col>2</xdr:col>
      <xdr:colOff>309559</xdr:colOff>
      <xdr:row>40</xdr:row>
      <xdr:rowOff>123828</xdr:rowOff>
    </xdr:to>
    <xdr:sp macro="" textlink="">
      <xdr:nvSpPr>
        <xdr:cNvPr id="38" name="Rectangle: Top Corners Rounded 37">
          <a:extLst>
            <a:ext uri="{FF2B5EF4-FFF2-40B4-BE49-F238E27FC236}">
              <a16:creationId xmlns:a16="http://schemas.microsoft.com/office/drawing/2014/main" id="{3FF413B4-3609-4FCF-94F0-C6FC3DB0E071}"/>
            </a:ext>
          </a:extLst>
        </xdr:cNvPr>
        <xdr:cNvSpPr/>
      </xdr:nvSpPr>
      <xdr:spPr>
        <a:xfrm rot="5400000">
          <a:off x="-2133604" y="3700464"/>
          <a:ext cx="5886452" cy="1438275"/>
        </a:xfrm>
        <a:prstGeom prst="round2SameRect">
          <a:avLst/>
        </a:prstGeom>
        <a:solidFill>
          <a:srgbClr val="F4F4F4">
            <a:alpha val="30000"/>
          </a:srgb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7</xdr:col>
      <xdr:colOff>47625</xdr:colOff>
      <xdr:row>8</xdr:row>
      <xdr:rowOff>142873</xdr:rowOff>
    </xdr:from>
    <xdr:to>
      <xdr:col>9</xdr:col>
      <xdr:colOff>570825</xdr:colOff>
      <xdr:row>16</xdr:row>
      <xdr:rowOff>153073</xdr:rowOff>
    </xdr:to>
    <xdr:sp macro="" textlink="">
      <xdr:nvSpPr>
        <xdr:cNvPr id="43" name="Rectangle 42">
          <a:extLst>
            <a:ext uri="{FF2B5EF4-FFF2-40B4-BE49-F238E27FC236}">
              <a16:creationId xmlns:a16="http://schemas.microsoft.com/office/drawing/2014/main" id="{53190DE6-7FA7-D2B6-CF53-5152E815BD0E}"/>
            </a:ext>
          </a:extLst>
        </xdr:cNvPr>
        <xdr:cNvSpPr/>
      </xdr:nvSpPr>
      <xdr:spPr>
        <a:xfrm>
          <a:off x="4314825" y="1590673"/>
          <a:ext cx="1742400" cy="1458000"/>
        </a:xfrm>
        <a:prstGeom prst="rect">
          <a:avLst/>
        </a:prstGeom>
        <a:solidFill>
          <a:schemeClr val="accent2">
            <a:lumMod val="20000"/>
            <a:lumOff val="8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3</xdr:col>
      <xdr:colOff>133350</xdr:colOff>
      <xdr:row>8</xdr:row>
      <xdr:rowOff>171448</xdr:rowOff>
    </xdr:from>
    <xdr:to>
      <xdr:col>6</xdr:col>
      <xdr:colOff>46950</xdr:colOff>
      <xdr:row>17</xdr:row>
      <xdr:rowOff>673</xdr:rowOff>
    </xdr:to>
    <xdr:sp macro="" textlink="">
      <xdr:nvSpPr>
        <xdr:cNvPr id="13" name="Rectangle 12">
          <a:extLst>
            <a:ext uri="{FF2B5EF4-FFF2-40B4-BE49-F238E27FC236}">
              <a16:creationId xmlns:a16="http://schemas.microsoft.com/office/drawing/2014/main" id="{EE11416D-6E20-8596-D993-D105F3279DE7}"/>
            </a:ext>
          </a:extLst>
        </xdr:cNvPr>
        <xdr:cNvSpPr/>
      </xdr:nvSpPr>
      <xdr:spPr>
        <a:xfrm>
          <a:off x="1962150" y="1619248"/>
          <a:ext cx="1742400" cy="1458000"/>
        </a:xfrm>
        <a:prstGeom prst="rect">
          <a:avLst/>
        </a:prstGeom>
        <a:solidFill>
          <a:schemeClr val="accent2">
            <a:lumMod val="20000"/>
            <a:lumOff val="8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371475</xdr:colOff>
      <xdr:row>0</xdr:row>
      <xdr:rowOff>66674</xdr:rowOff>
    </xdr:from>
    <xdr:to>
      <xdr:col>29</xdr:col>
      <xdr:colOff>114299</xdr:colOff>
      <xdr:row>7</xdr:row>
      <xdr:rowOff>133347</xdr:rowOff>
    </xdr:to>
    <xdr:sp macro="" textlink="">
      <xdr:nvSpPr>
        <xdr:cNvPr id="37" name="Rectangle: Top Corners Rounded 36">
          <a:extLst>
            <a:ext uri="{FF2B5EF4-FFF2-40B4-BE49-F238E27FC236}">
              <a16:creationId xmlns:a16="http://schemas.microsoft.com/office/drawing/2014/main" id="{98C5640A-735E-142B-484D-9F9CD2796C4B}"/>
            </a:ext>
          </a:extLst>
        </xdr:cNvPr>
        <xdr:cNvSpPr/>
      </xdr:nvSpPr>
      <xdr:spPr>
        <a:xfrm rot="10800000">
          <a:off x="1590675" y="66674"/>
          <a:ext cx="16202024" cy="1333498"/>
        </a:xfrm>
        <a:prstGeom prst="round2SameRect">
          <a:avLst/>
        </a:prstGeom>
        <a:solidFill>
          <a:srgbClr val="F4F4F4">
            <a:alpha val="30000"/>
          </a:srgb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542926</xdr:colOff>
      <xdr:row>8</xdr:row>
      <xdr:rowOff>142873</xdr:rowOff>
    </xdr:from>
    <xdr:to>
      <xdr:col>13</xdr:col>
      <xdr:colOff>456526</xdr:colOff>
      <xdr:row>16</xdr:row>
      <xdr:rowOff>153073</xdr:rowOff>
    </xdr:to>
    <xdr:sp macro="" textlink="">
      <xdr:nvSpPr>
        <xdr:cNvPr id="46" name="Rectangle 45">
          <a:extLst>
            <a:ext uri="{FF2B5EF4-FFF2-40B4-BE49-F238E27FC236}">
              <a16:creationId xmlns:a16="http://schemas.microsoft.com/office/drawing/2014/main" id="{6F277060-2589-F31E-3512-3393C398AD61}"/>
            </a:ext>
          </a:extLst>
        </xdr:cNvPr>
        <xdr:cNvSpPr/>
      </xdr:nvSpPr>
      <xdr:spPr>
        <a:xfrm>
          <a:off x="6638926" y="1590673"/>
          <a:ext cx="1742400" cy="1458000"/>
        </a:xfrm>
        <a:prstGeom prst="rect">
          <a:avLst/>
        </a:prstGeom>
        <a:solidFill>
          <a:schemeClr val="accent2">
            <a:lumMod val="20000"/>
            <a:lumOff val="8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47625</xdr:colOff>
      <xdr:row>0</xdr:row>
      <xdr:rowOff>85724</xdr:rowOff>
    </xdr:from>
    <xdr:to>
      <xdr:col>2</xdr:col>
      <xdr:colOff>276225</xdr:colOff>
      <xdr:row>7</xdr:row>
      <xdr:rowOff>161924</xdr:rowOff>
    </xdr:to>
    <xdr:sp macro="" textlink="">
      <xdr:nvSpPr>
        <xdr:cNvPr id="39" name="Rectangle 38">
          <a:extLst>
            <a:ext uri="{FF2B5EF4-FFF2-40B4-BE49-F238E27FC236}">
              <a16:creationId xmlns:a16="http://schemas.microsoft.com/office/drawing/2014/main" id="{7685B850-5F75-B56B-818F-B4E91F80729D}"/>
            </a:ext>
          </a:extLst>
        </xdr:cNvPr>
        <xdr:cNvSpPr/>
      </xdr:nvSpPr>
      <xdr:spPr>
        <a:xfrm>
          <a:off x="47625" y="85724"/>
          <a:ext cx="1447800" cy="1343025"/>
        </a:xfrm>
        <a:prstGeom prst="rect">
          <a:avLst/>
        </a:prstGeom>
        <a:solidFill>
          <a:srgbClr val="F4F4F4">
            <a:alpha val="30000"/>
          </a:srgb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123825</xdr:colOff>
      <xdr:row>41</xdr:row>
      <xdr:rowOff>28574</xdr:rowOff>
    </xdr:from>
    <xdr:to>
      <xdr:col>29</xdr:col>
      <xdr:colOff>66675</xdr:colOff>
      <xdr:row>43</xdr:row>
      <xdr:rowOff>133349</xdr:rowOff>
    </xdr:to>
    <xdr:sp macro="" textlink="">
      <xdr:nvSpPr>
        <xdr:cNvPr id="40" name="Rectangle 39">
          <a:extLst>
            <a:ext uri="{FF2B5EF4-FFF2-40B4-BE49-F238E27FC236}">
              <a16:creationId xmlns:a16="http://schemas.microsoft.com/office/drawing/2014/main" id="{A5AA1A36-ADE3-E4AB-E98D-8028550F8849}"/>
            </a:ext>
          </a:extLst>
        </xdr:cNvPr>
        <xdr:cNvSpPr/>
      </xdr:nvSpPr>
      <xdr:spPr>
        <a:xfrm flipV="1">
          <a:off x="123825" y="7448549"/>
          <a:ext cx="17621250" cy="466725"/>
        </a:xfrm>
        <a:prstGeom prst="rect">
          <a:avLst/>
        </a:prstGeom>
        <a:solidFill>
          <a:schemeClr val="accent1">
            <a:alpha val="3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301287</xdr:colOff>
      <xdr:row>13</xdr:row>
      <xdr:rowOff>7787</xdr:rowOff>
    </xdr:from>
    <xdr:to>
      <xdr:col>9</xdr:col>
      <xdr:colOff>291687</xdr:colOff>
      <xdr:row>16</xdr:row>
      <xdr:rowOff>87662</xdr:rowOff>
    </xdr:to>
    <xdr:sp macro="" textlink="'Sheet Design'!D4">
      <xdr:nvSpPr>
        <xdr:cNvPr id="42" name="Oval 41">
          <a:extLst>
            <a:ext uri="{FF2B5EF4-FFF2-40B4-BE49-F238E27FC236}">
              <a16:creationId xmlns:a16="http://schemas.microsoft.com/office/drawing/2014/main" id="{81CD1365-1C42-2ADC-AF6E-71298D94E2B5}"/>
            </a:ext>
          </a:extLst>
        </xdr:cNvPr>
        <xdr:cNvSpPr/>
      </xdr:nvSpPr>
      <xdr:spPr>
        <a:xfrm>
          <a:off x="4568487" y="2360462"/>
          <a:ext cx="1209600" cy="622800"/>
        </a:xfrm>
        <a:prstGeom prst="ellipse">
          <a:avLst/>
        </a:prstGeom>
        <a:solidFill>
          <a:schemeClr val="bg2">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lstStyle/>
        <a:p>
          <a:pPr marL="0" indent="0" algn="l"/>
          <a:fld id="{5A7F192B-9BF0-4728-82FB-F0010CE5EF87}" type="TxLink">
            <a:rPr lang="en-US" sz="1400" b="0" i="0" u="none" strike="noStrike">
              <a:ln>
                <a:noFill/>
              </a:ln>
              <a:solidFill>
                <a:schemeClr val="bg1"/>
              </a:solidFill>
              <a:latin typeface="Calibri"/>
              <a:ea typeface="Calibri"/>
              <a:cs typeface="Calibri"/>
            </a:rPr>
            <a:pPr marL="0" indent="0" algn="l"/>
            <a:t>$543.6M</a:t>
          </a:fld>
          <a:endParaRPr lang="en-IN" sz="1400" b="0" i="0" u="none" strike="noStrike">
            <a:ln>
              <a:noFill/>
            </a:ln>
            <a:solidFill>
              <a:schemeClr val="bg1"/>
            </a:solidFill>
            <a:latin typeface="Calibri"/>
            <a:ea typeface="Calibri"/>
            <a:cs typeface="Calibri"/>
          </a:endParaRPr>
        </a:p>
      </xdr:txBody>
    </xdr:sp>
    <xdr:clientData/>
  </xdr:twoCellAnchor>
  <xdr:twoCellAnchor>
    <xdr:from>
      <xdr:col>3</xdr:col>
      <xdr:colOff>133350</xdr:colOff>
      <xdr:row>17</xdr:row>
      <xdr:rowOff>180973</xdr:rowOff>
    </xdr:from>
    <xdr:to>
      <xdr:col>6</xdr:col>
      <xdr:colOff>46950</xdr:colOff>
      <xdr:row>26</xdr:row>
      <xdr:rowOff>10198</xdr:rowOff>
    </xdr:to>
    <xdr:sp macro="" textlink="">
      <xdr:nvSpPr>
        <xdr:cNvPr id="49" name="Rectangle 48">
          <a:extLst>
            <a:ext uri="{FF2B5EF4-FFF2-40B4-BE49-F238E27FC236}">
              <a16:creationId xmlns:a16="http://schemas.microsoft.com/office/drawing/2014/main" id="{DB880505-ADC3-84A4-B8ED-15A1FBB5FAB3}"/>
            </a:ext>
          </a:extLst>
        </xdr:cNvPr>
        <xdr:cNvSpPr/>
      </xdr:nvSpPr>
      <xdr:spPr>
        <a:xfrm>
          <a:off x="1962150" y="3257548"/>
          <a:ext cx="1742400" cy="1458000"/>
        </a:xfrm>
        <a:prstGeom prst="rect">
          <a:avLst/>
        </a:prstGeom>
        <a:solidFill>
          <a:schemeClr val="accent2">
            <a:lumMod val="20000"/>
            <a:lumOff val="8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7</xdr:col>
      <xdr:colOff>47625</xdr:colOff>
      <xdr:row>17</xdr:row>
      <xdr:rowOff>180973</xdr:rowOff>
    </xdr:from>
    <xdr:to>
      <xdr:col>9</xdr:col>
      <xdr:colOff>570825</xdr:colOff>
      <xdr:row>26</xdr:row>
      <xdr:rowOff>10198</xdr:rowOff>
    </xdr:to>
    <xdr:sp macro="" textlink="">
      <xdr:nvSpPr>
        <xdr:cNvPr id="52" name="Rectangle 51">
          <a:extLst>
            <a:ext uri="{FF2B5EF4-FFF2-40B4-BE49-F238E27FC236}">
              <a16:creationId xmlns:a16="http://schemas.microsoft.com/office/drawing/2014/main" id="{EBADDEB2-70C7-3FE8-735A-8CB973F4C144}"/>
            </a:ext>
          </a:extLst>
        </xdr:cNvPr>
        <xdr:cNvSpPr/>
      </xdr:nvSpPr>
      <xdr:spPr>
        <a:xfrm>
          <a:off x="4314825" y="3257548"/>
          <a:ext cx="1742400" cy="1458000"/>
        </a:xfrm>
        <a:prstGeom prst="rect">
          <a:avLst/>
        </a:prstGeom>
        <a:solidFill>
          <a:schemeClr val="accent2">
            <a:lumMod val="20000"/>
            <a:lumOff val="8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11</xdr:col>
      <xdr:colOff>234610</xdr:colOff>
      <xdr:row>13</xdr:row>
      <xdr:rowOff>7787</xdr:rowOff>
    </xdr:from>
    <xdr:to>
      <xdr:col>13</xdr:col>
      <xdr:colOff>225010</xdr:colOff>
      <xdr:row>16</xdr:row>
      <xdr:rowOff>87662</xdr:rowOff>
    </xdr:to>
    <xdr:sp macro="" textlink="'Sheet Design'!E4">
      <xdr:nvSpPr>
        <xdr:cNvPr id="45" name="Oval 44">
          <a:extLst>
            <a:ext uri="{FF2B5EF4-FFF2-40B4-BE49-F238E27FC236}">
              <a16:creationId xmlns:a16="http://schemas.microsoft.com/office/drawing/2014/main" id="{9D05E36D-A8B3-4FD4-11CF-46CE6A165DBE}"/>
            </a:ext>
          </a:extLst>
        </xdr:cNvPr>
        <xdr:cNvSpPr/>
      </xdr:nvSpPr>
      <xdr:spPr>
        <a:xfrm>
          <a:off x="6940210" y="2360462"/>
          <a:ext cx="1209600" cy="622800"/>
        </a:xfrm>
        <a:prstGeom prst="ellipse">
          <a:avLst/>
        </a:prstGeom>
        <a:solidFill>
          <a:schemeClr val="bg2">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lstStyle/>
        <a:p>
          <a:pPr marL="0" indent="0" algn="l"/>
          <a:fld id="{670E0843-DE0E-4609-A3F5-77F2FFA442A8}" type="TxLink">
            <a:rPr lang="en-US" sz="1400" b="0" i="0" u="none" strike="noStrike">
              <a:ln>
                <a:noFill/>
              </a:ln>
              <a:solidFill>
                <a:schemeClr val="bg1"/>
              </a:solidFill>
              <a:latin typeface="Calibri"/>
              <a:ea typeface="Calibri"/>
              <a:cs typeface="Calibri"/>
            </a:rPr>
            <a:pPr marL="0" indent="0" algn="l"/>
            <a:t>$473.1M</a:t>
          </a:fld>
          <a:endParaRPr lang="en-IN" sz="1400" b="0" i="0" u="none" strike="noStrike">
            <a:ln>
              <a:noFill/>
            </a:ln>
            <a:solidFill>
              <a:schemeClr val="bg1"/>
            </a:solidFill>
            <a:latin typeface="Calibri"/>
            <a:ea typeface="Calibri"/>
            <a:cs typeface="Calibri"/>
          </a:endParaRPr>
        </a:p>
      </xdr:txBody>
    </xdr:sp>
    <xdr:clientData/>
  </xdr:twoCellAnchor>
  <xdr:twoCellAnchor>
    <xdr:from>
      <xdr:col>3</xdr:col>
      <xdr:colOff>401740</xdr:colOff>
      <xdr:row>22</xdr:row>
      <xdr:rowOff>36361</xdr:rowOff>
    </xdr:from>
    <xdr:to>
      <xdr:col>5</xdr:col>
      <xdr:colOff>392140</xdr:colOff>
      <xdr:row>25</xdr:row>
      <xdr:rowOff>116236</xdr:rowOff>
    </xdr:to>
    <xdr:sp macro="" textlink="'Sheet Design'!F4">
      <xdr:nvSpPr>
        <xdr:cNvPr id="48" name="Oval 47">
          <a:extLst>
            <a:ext uri="{FF2B5EF4-FFF2-40B4-BE49-F238E27FC236}">
              <a16:creationId xmlns:a16="http://schemas.microsoft.com/office/drawing/2014/main" id="{D7FBFEA7-88A8-9F95-180A-71293A10B68E}"/>
            </a:ext>
          </a:extLst>
        </xdr:cNvPr>
        <xdr:cNvSpPr/>
      </xdr:nvSpPr>
      <xdr:spPr>
        <a:xfrm>
          <a:off x="2230540" y="4017811"/>
          <a:ext cx="1209600" cy="622800"/>
        </a:xfrm>
        <a:prstGeom prst="ellipse">
          <a:avLst/>
        </a:prstGeom>
        <a:solidFill>
          <a:schemeClr val="bg2">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lstStyle/>
        <a:p>
          <a:pPr marL="0" indent="0" algn="l"/>
          <a:fld id="{DF6D26D8-7710-4252-A5F4-C12EA9EA72EB}" type="TxLink">
            <a:rPr lang="en-US" sz="1400" b="0" i="0" u="none" strike="noStrike">
              <a:ln>
                <a:noFill/>
              </a:ln>
              <a:solidFill>
                <a:schemeClr val="bg1"/>
              </a:solidFill>
              <a:latin typeface="Calibri"/>
              <a:ea typeface="Calibri"/>
              <a:cs typeface="Calibri"/>
            </a:rPr>
            <a:pPr marL="0" indent="0" algn="l"/>
            <a:t>-12.97%</a:t>
          </a:fld>
          <a:endParaRPr lang="en-IN" sz="1400" b="0" i="0" u="none" strike="noStrike">
            <a:ln>
              <a:noFill/>
            </a:ln>
            <a:solidFill>
              <a:schemeClr val="bg1"/>
            </a:solidFill>
            <a:latin typeface="Calibri"/>
            <a:ea typeface="Calibri"/>
            <a:cs typeface="Calibri"/>
          </a:endParaRPr>
        </a:p>
      </xdr:txBody>
    </xdr:sp>
    <xdr:clientData/>
  </xdr:twoCellAnchor>
  <xdr:twoCellAnchor>
    <xdr:from>
      <xdr:col>10</xdr:col>
      <xdr:colOff>552450</xdr:colOff>
      <xdr:row>17</xdr:row>
      <xdr:rowOff>180973</xdr:rowOff>
    </xdr:from>
    <xdr:to>
      <xdr:col>13</xdr:col>
      <xdr:colOff>466050</xdr:colOff>
      <xdr:row>26</xdr:row>
      <xdr:rowOff>10198</xdr:rowOff>
    </xdr:to>
    <xdr:sp macro="" textlink="">
      <xdr:nvSpPr>
        <xdr:cNvPr id="58" name="Rectangle 57">
          <a:extLst>
            <a:ext uri="{FF2B5EF4-FFF2-40B4-BE49-F238E27FC236}">
              <a16:creationId xmlns:a16="http://schemas.microsoft.com/office/drawing/2014/main" id="{437D2B86-7351-29A6-745C-F0664B82A212}"/>
            </a:ext>
          </a:extLst>
        </xdr:cNvPr>
        <xdr:cNvSpPr/>
      </xdr:nvSpPr>
      <xdr:spPr>
        <a:xfrm>
          <a:off x="6648450" y="3257548"/>
          <a:ext cx="1742400" cy="1458000"/>
        </a:xfrm>
        <a:prstGeom prst="rect">
          <a:avLst/>
        </a:prstGeom>
        <a:solidFill>
          <a:schemeClr val="accent2">
            <a:lumMod val="20000"/>
            <a:lumOff val="8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7</xdr:col>
      <xdr:colOff>301287</xdr:colOff>
      <xdr:row>22</xdr:row>
      <xdr:rowOff>36361</xdr:rowOff>
    </xdr:from>
    <xdr:to>
      <xdr:col>9</xdr:col>
      <xdr:colOff>291687</xdr:colOff>
      <xdr:row>25</xdr:row>
      <xdr:rowOff>116236</xdr:rowOff>
    </xdr:to>
    <xdr:sp macro="" textlink="'Sheet Design'!G4">
      <xdr:nvSpPr>
        <xdr:cNvPr id="51" name="Oval 50">
          <a:extLst>
            <a:ext uri="{FF2B5EF4-FFF2-40B4-BE49-F238E27FC236}">
              <a16:creationId xmlns:a16="http://schemas.microsoft.com/office/drawing/2014/main" id="{C75461A7-FE0A-E44F-3F3D-5223DAFAC2B8}"/>
            </a:ext>
          </a:extLst>
        </xdr:cNvPr>
        <xdr:cNvSpPr/>
      </xdr:nvSpPr>
      <xdr:spPr>
        <a:xfrm>
          <a:off x="4568487" y="4017811"/>
          <a:ext cx="1209600" cy="622800"/>
        </a:xfrm>
        <a:prstGeom prst="ellipse">
          <a:avLst/>
        </a:prstGeom>
        <a:solidFill>
          <a:schemeClr val="bg2">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lstStyle/>
        <a:p>
          <a:pPr marL="0" indent="0" algn="l"/>
          <a:fld id="{923289B7-8D6B-4464-A895-5BED675F2107}" type="TxLink">
            <a:rPr lang="en-US" sz="1400" b="0" i="0" u="none" strike="noStrike">
              <a:ln>
                <a:noFill/>
              </a:ln>
              <a:solidFill>
                <a:schemeClr val="bg1"/>
              </a:solidFill>
              <a:latin typeface="Calibri"/>
              <a:ea typeface="Calibri"/>
              <a:cs typeface="Calibri"/>
            </a:rPr>
            <a:pPr marL="0" indent="0" algn="l"/>
            <a:t>12.05%</a:t>
          </a:fld>
          <a:endParaRPr lang="en-IN" sz="1400" b="0" i="0" u="none" strike="noStrike">
            <a:ln>
              <a:noFill/>
            </a:ln>
            <a:solidFill>
              <a:schemeClr val="bg1"/>
            </a:solidFill>
            <a:latin typeface="Calibri"/>
            <a:ea typeface="Calibri"/>
            <a:cs typeface="Calibri"/>
          </a:endParaRPr>
        </a:p>
      </xdr:txBody>
    </xdr:sp>
    <xdr:clientData/>
  </xdr:twoCellAnchor>
  <xdr:twoCellAnchor>
    <xdr:from>
      <xdr:col>11</xdr:col>
      <xdr:colOff>234610</xdr:colOff>
      <xdr:row>22</xdr:row>
      <xdr:rowOff>36361</xdr:rowOff>
    </xdr:from>
    <xdr:to>
      <xdr:col>13</xdr:col>
      <xdr:colOff>225010</xdr:colOff>
      <xdr:row>25</xdr:row>
      <xdr:rowOff>116236</xdr:rowOff>
    </xdr:to>
    <xdr:sp macro="" textlink="'Sheet Design'!H4">
      <xdr:nvSpPr>
        <xdr:cNvPr id="57" name="Oval 56">
          <a:extLst>
            <a:ext uri="{FF2B5EF4-FFF2-40B4-BE49-F238E27FC236}">
              <a16:creationId xmlns:a16="http://schemas.microsoft.com/office/drawing/2014/main" id="{FDA79961-0A45-A9F5-1A30-48D625670401}"/>
            </a:ext>
          </a:extLst>
        </xdr:cNvPr>
        <xdr:cNvSpPr/>
      </xdr:nvSpPr>
      <xdr:spPr>
        <a:xfrm>
          <a:off x="6940210" y="4017811"/>
          <a:ext cx="1209600" cy="622800"/>
        </a:xfrm>
        <a:prstGeom prst="ellipse">
          <a:avLst/>
        </a:prstGeom>
        <a:solidFill>
          <a:schemeClr val="bg2">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lstStyle/>
        <a:p>
          <a:pPr marL="0" indent="0" algn="l"/>
          <a:fld id="{635B19A8-A960-4D1E-AE7B-9C688E0AEF04}" type="TxLink">
            <a:rPr lang="en-US" sz="1400" b="0" i="0" u="none" strike="noStrike">
              <a:ln>
                <a:noFill/>
              </a:ln>
              <a:solidFill>
                <a:schemeClr val="bg1"/>
              </a:solidFill>
              <a:latin typeface="Calibri"/>
              <a:ea typeface="Calibri"/>
              <a:cs typeface="Calibri"/>
            </a:rPr>
            <a:pPr marL="0" indent="0" algn="l"/>
            <a:t>13.33%</a:t>
          </a:fld>
          <a:endParaRPr lang="en-IN" sz="1400" b="0" i="0" u="none" strike="noStrike">
            <a:ln>
              <a:noFill/>
            </a:ln>
            <a:solidFill>
              <a:schemeClr val="bg1"/>
            </a:solidFill>
            <a:latin typeface="Calibri"/>
            <a:ea typeface="Calibri"/>
            <a:cs typeface="Calibri"/>
          </a:endParaRPr>
        </a:p>
      </xdr:txBody>
    </xdr:sp>
    <xdr:clientData/>
  </xdr:twoCellAnchor>
  <xdr:oneCellAnchor>
    <xdr:from>
      <xdr:col>7</xdr:col>
      <xdr:colOff>38101</xdr:colOff>
      <xdr:row>8</xdr:row>
      <xdr:rowOff>56258</xdr:rowOff>
    </xdr:from>
    <xdr:ext cx="1438274" cy="1010541"/>
    <xdr:sp macro="" textlink="">
      <xdr:nvSpPr>
        <xdr:cNvPr id="67" name="TextBox 66">
          <a:extLst>
            <a:ext uri="{FF2B5EF4-FFF2-40B4-BE49-F238E27FC236}">
              <a16:creationId xmlns:a16="http://schemas.microsoft.com/office/drawing/2014/main" id="{F7026B6C-5642-45F6-AA61-B9C9C2DDB20F}"/>
            </a:ext>
          </a:extLst>
        </xdr:cNvPr>
        <xdr:cNvSpPr txBox="1"/>
      </xdr:nvSpPr>
      <xdr:spPr>
        <a:xfrm>
          <a:off x="4305301" y="1504058"/>
          <a:ext cx="1438274" cy="10105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Expected Amount</a:t>
          </a:r>
        </a:p>
      </xdr:txBody>
    </xdr:sp>
    <xdr:clientData/>
  </xdr:oneCellAnchor>
  <xdr:oneCellAnchor>
    <xdr:from>
      <xdr:col>10</xdr:col>
      <xdr:colOff>533400</xdr:colOff>
      <xdr:row>8</xdr:row>
      <xdr:rowOff>150432</xdr:rowOff>
    </xdr:from>
    <xdr:ext cx="1876425" cy="774571"/>
    <xdr:sp macro="" textlink="">
      <xdr:nvSpPr>
        <xdr:cNvPr id="68" name="TextBox 67">
          <a:extLst>
            <a:ext uri="{FF2B5EF4-FFF2-40B4-BE49-F238E27FC236}">
              <a16:creationId xmlns:a16="http://schemas.microsoft.com/office/drawing/2014/main" id="{E8289945-DA06-48AD-B9B5-6DDA1A135203}"/>
            </a:ext>
          </a:extLst>
        </xdr:cNvPr>
        <xdr:cNvSpPr txBox="1"/>
      </xdr:nvSpPr>
      <xdr:spPr>
        <a:xfrm>
          <a:off x="6629400" y="1598232"/>
          <a:ext cx="1876425" cy="7745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Received</a:t>
          </a:r>
          <a:r>
            <a:rPr lang="en-IN" sz="20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 Amount</a:t>
          </a:r>
          <a:endPar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10</xdr:col>
      <xdr:colOff>571500</xdr:colOff>
      <xdr:row>18</xdr:row>
      <xdr:rowOff>7743</xdr:rowOff>
    </xdr:from>
    <xdr:ext cx="1400175" cy="433452"/>
    <xdr:sp macro="" textlink="">
      <xdr:nvSpPr>
        <xdr:cNvPr id="69" name="TextBox 68">
          <a:extLst>
            <a:ext uri="{FF2B5EF4-FFF2-40B4-BE49-F238E27FC236}">
              <a16:creationId xmlns:a16="http://schemas.microsoft.com/office/drawing/2014/main" id="{053A06E2-553D-4B75-BC36-218DA93F2467}"/>
            </a:ext>
          </a:extLst>
        </xdr:cNvPr>
        <xdr:cNvSpPr txBox="1"/>
      </xdr:nvSpPr>
      <xdr:spPr>
        <a:xfrm>
          <a:off x="6667500" y="3265293"/>
          <a:ext cx="1400175" cy="433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Avg</a:t>
          </a:r>
          <a:r>
            <a:rPr lang="en-IN" sz="20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 DTI</a:t>
          </a:r>
          <a:endPar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7</xdr:col>
      <xdr:colOff>57150</xdr:colOff>
      <xdr:row>17</xdr:row>
      <xdr:rowOff>175183</xdr:rowOff>
    </xdr:from>
    <xdr:ext cx="1752599" cy="774571"/>
    <xdr:sp macro="" textlink="">
      <xdr:nvSpPr>
        <xdr:cNvPr id="70" name="TextBox 69">
          <a:extLst>
            <a:ext uri="{FF2B5EF4-FFF2-40B4-BE49-F238E27FC236}">
              <a16:creationId xmlns:a16="http://schemas.microsoft.com/office/drawing/2014/main" id="{77A88E97-7004-4FE8-9341-863038991EF0}"/>
            </a:ext>
          </a:extLst>
        </xdr:cNvPr>
        <xdr:cNvSpPr txBox="1"/>
      </xdr:nvSpPr>
      <xdr:spPr>
        <a:xfrm>
          <a:off x="4324350" y="3251758"/>
          <a:ext cx="1752599" cy="7745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Avg</a:t>
          </a:r>
          <a:r>
            <a:rPr lang="en-IN" sz="20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 Interest Rate</a:t>
          </a:r>
          <a:endPar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3</xdr:col>
      <xdr:colOff>142875</xdr:colOff>
      <xdr:row>18</xdr:row>
      <xdr:rowOff>25937</xdr:rowOff>
    </xdr:from>
    <xdr:ext cx="1428750" cy="604012"/>
    <xdr:sp macro="" textlink="">
      <xdr:nvSpPr>
        <xdr:cNvPr id="71" name="TextBox 70">
          <a:extLst>
            <a:ext uri="{FF2B5EF4-FFF2-40B4-BE49-F238E27FC236}">
              <a16:creationId xmlns:a16="http://schemas.microsoft.com/office/drawing/2014/main" id="{D87173C5-117C-4B5D-AD1F-3B12B87B7323}"/>
            </a:ext>
          </a:extLst>
        </xdr:cNvPr>
        <xdr:cNvSpPr txBox="1"/>
      </xdr:nvSpPr>
      <xdr:spPr>
        <a:xfrm>
          <a:off x="1971675" y="3283487"/>
          <a:ext cx="1428750" cy="6040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Growth</a:t>
          </a:r>
          <a:r>
            <a:rPr lang="en-IN" sz="20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 %</a:t>
          </a:r>
          <a:br>
            <a:rPr lang="en-IN" sz="20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br>
          <a:r>
            <a:rPr lang="en-IN" sz="10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(Actuals vs Expected)</a:t>
          </a:r>
          <a:endParaRPr lang="en-IN" sz="1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twoCellAnchor>
    <xdr:from>
      <xdr:col>21</xdr:col>
      <xdr:colOff>333375</xdr:colOff>
      <xdr:row>8</xdr:row>
      <xdr:rowOff>133350</xdr:rowOff>
    </xdr:from>
    <xdr:to>
      <xdr:col>28</xdr:col>
      <xdr:colOff>323850</xdr:colOff>
      <xdr:row>26</xdr:row>
      <xdr:rowOff>76200</xdr:rowOff>
    </xdr:to>
    <xdr:grpSp>
      <xdr:nvGrpSpPr>
        <xdr:cNvPr id="2" name="Group 1">
          <a:extLst>
            <a:ext uri="{FF2B5EF4-FFF2-40B4-BE49-F238E27FC236}">
              <a16:creationId xmlns:a16="http://schemas.microsoft.com/office/drawing/2014/main" id="{4272D1F0-4AB5-1755-AA67-C356106ABEEB}"/>
            </a:ext>
          </a:extLst>
        </xdr:cNvPr>
        <xdr:cNvGrpSpPr/>
      </xdr:nvGrpSpPr>
      <xdr:grpSpPr>
        <a:xfrm>
          <a:off x="13134975" y="1581150"/>
          <a:ext cx="4257675" cy="3200400"/>
          <a:chOff x="13134975" y="1581150"/>
          <a:chExt cx="4257675" cy="3200400"/>
        </a:xfrm>
      </xdr:grpSpPr>
      <xdr:sp macro="" textlink="">
        <xdr:nvSpPr>
          <xdr:cNvPr id="55" name="Rectangle 54">
            <a:extLst>
              <a:ext uri="{FF2B5EF4-FFF2-40B4-BE49-F238E27FC236}">
                <a16:creationId xmlns:a16="http://schemas.microsoft.com/office/drawing/2014/main" id="{37B0A85A-9AB5-59C6-F440-00403B22175A}"/>
              </a:ext>
            </a:extLst>
          </xdr:cNvPr>
          <xdr:cNvSpPr/>
        </xdr:nvSpPr>
        <xdr:spPr>
          <a:xfrm>
            <a:off x="13134975" y="2095499"/>
            <a:ext cx="4257675" cy="2686051"/>
          </a:xfrm>
          <a:prstGeom prst="rect">
            <a:avLst/>
          </a:prstGeom>
          <a:solidFill>
            <a:schemeClr val="accent4">
              <a:lumMod val="40000"/>
              <a:lumOff val="60000"/>
            </a:schemeClr>
          </a:solidFill>
          <a:ln>
            <a:noFill/>
          </a:ln>
          <a:effectLst>
            <a:innerShdw blurRad="63500" dist="50800" dir="135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2" name="Rectangle 61">
            <a:extLst>
              <a:ext uri="{FF2B5EF4-FFF2-40B4-BE49-F238E27FC236}">
                <a16:creationId xmlns:a16="http://schemas.microsoft.com/office/drawing/2014/main" id="{DB2618B8-FD3C-B4E5-B5DF-EB149394770E}"/>
              </a:ext>
            </a:extLst>
          </xdr:cNvPr>
          <xdr:cNvSpPr/>
        </xdr:nvSpPr>
        <xdr:spPr>
          <a:xfrm>
            <a:off x="13258800" y="2695575"/>
            <a:ext cx="4010025" cy="495299"/>
          </a:xfrm>
          <a:prstGeom prst="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sp macro="" textlink="">
        <xdr:nvSpPr>
          <xdr:cNvPr id="63" name="Rectangle 62">
            <a:extLst>
              <a:ext uri="{FF2B5EF4-FFF2-40B4-BE49-F238E27FC236}">
                <a16:creationId xmlns:a16="http://schemas.microsoft.com/office/drawing/2014/main" id="{C2C07254-E2D8-48C6-A910-11D42D025019}"/>
              </a:ext>
            </a:extLst>
          </xdr:cNvPr>
          <xdr:cNvSpPr/>
        </xdr:nvSpPr>
        <xdr:spPr>
          <a:xfrm>
            <a:off x="13277849" y="3400424"/>
            <a:ext cx="4010400" cy="496800"/>
          </a:xfrm>
          <a:prstGeom prst="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sp macro="" textlink="">
        <xdr:nvSpPr>
          <xdr:cNvPr id="64" name="Rectangle 63">
            <a:extLst>
              <a:ext uri="{FF2B5EF4-FFF2-40B4-BE49-F238E27FC236}">
                <a16:creationId xmlns:a16="http://schemas.microsoft.com/office/drawing/2014/main" id="{1359B9B6-95EA-4BCF-B10F-AA1F7829A2C6}"/>
              </a:ext>
            </a:extLst>
          </xdr:cNvPr>
          <xdr:cNvSpPr/>
        </xdr:nvSpPr>
        <xdr:spPr>
          <a:xfrm>
            <a:off x="13287376" y="4143374"/>
            <a:ext cx="4010400" cy="496800"/>
          </a:xfrm>
          <a:prstGeom prst="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sp macro="" textlink="">
        <xdr:nvSpPr>
          <xdr:cNvPr id="65" name="Rectangle 64">
            <a:extLst>
              <a:ext uri="{FF2B5EF4-FFF2-40B4-BE49-F238E27FC236}">
                <a16:creationId xmlns:a16="http://schemas.microsoft.com/office/drawing/2014/main" id="{A4564BB5-E5D3-48C3-AE32-FB869693E7B6}"/>
              </a:ext>
            </a:extLst>
          </xdr:cNvPr>
          <xdr:cNvSpPr/>
        </xdr:nvSpPr>
        <xdr:spPr>
          <a:xfrm>
            <a:off x="13620750" y="1581150"/>
            <a:ext cx="3371850" cy="962025"/>
          </a:xfrm>
          <a:prstGeom prst="rect">
            <a:avLst/>
          </a:prstGeom>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6" name="TextBox 65">
            <a:extLst>
              <a:ext uri="{FF2B5EF4-FFF2-40B4-BE49-F238E27FC236}">
                <a16:creationId xmlns:a16="http://schemas.microsoft.com/office/drawing/2014/main" id="{6BC889BF-13F5-FEEA-6483-6E25BA18B249}"/>
              </a:ext>
            </a:extLst>
          </xdr:cNvPr>
          <xdr:cNvSpPr txBox="1"/>
        </xdr:nvSpPr>
        <xdr:spPr>
          <a:xfrm>
            <a:off x="13954125" y="1636519"/>
            <a:ext cx="2762250" cy="433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Total Funded Loans</a:t>
            </a:r>
          </a:p>
        </xdr:txBody>
      </xdr:sp>
      <xdr:sp macro="" textlink="">
        <xdr:nvSpPr>
          <xdr:cNvPr id="72" name="TextBox 71">
            <a:extLst>
              <a:ext uri="{FF2B5EF4-FFF2-40B4-BE49-F238E27FC236}">
                <a16:creationId xmlns:a16="http://schemas.microsoft.com/office/drawing/2014/main" id="{EC71A818-A65C-4796-8748-4B2C27DA05E6}"/>
              </a:ext>
            </a:extLst>
          </xdr:cNvPr>
          <xdr:cNvSpPr txBox="1"/>
        </xdr:nvSpPr>
        <xdr:spPr>
          <a:xfrm>
            <a:off x="13249275" y="2809855"/>
            <a:ext cx="1304925" cy="3311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Active Loans</a:t>
            </a:r>
          </a:p>
        </xdr:txBody>
      </xdr:sp>
      <xdr:sp macro="" textlink="">
        <xdr:nvSpPr>
          <xdr:cNvPr id="73" name="TextBox 72">
            <a:extLst>
              <a:ext uri="{FF2B5EF4-FFF2-40B4-BE49-F238E27FC236}">
                <a16:creationId xmlns:a16="http://schemas.microsoft.com/office/drawing/2014/main" id="{F85EEFBE-DE5C-42A1-B987-20F6CE9546A2}"/>
              </a:ext>
            </a:extLst>
          </xdr:cNvPr>
          <xdr:cNvSpPr txBox="1"/>
        </xdr:nvSpPr>
        <xdr:spPr>
          <a:xfrm>
            <a:off x="13239750" y="3348826"/>
            <a:ext cx="1609726" cy="569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Charged</a:t>
            </a:r>
            <a:r>
              <a:rPr lang="en-IN" sz="14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 Off/ Defaulted </a:t>
            </a:r>
            <a:r>
              <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Loans</a:t>
            </a:r>
          </a:p>
        </xdr:txBody>
      </xdr:sp>
      <xdr:sp macro="" textlink="">
        <xdr:nvSpPr>
          <xdr:cNvPr id="74" name="TextBox 73">
            <a:extLst>
              <a:ext uri="{FF2B5EF4-FFF2-40B4-BE49-F238E27FC236}">
                <a16:creationId xmlns:a16="http://schemas.microsoft.com/office/drawing/2014/main" id="{43DA087F-6CFE-45D8-B9A5-E40FE9E1097B}"/>
              </a:ext>
            </a:extLst>
          </xdr:cNvPr>
          <xdr:cNvSpPr txBox="1"/>
        </xdr:nvSpPr>
        <xdr:spPr>
          <a:xfrm>
            <a:off x="13287375" y="4248130"/>
            <a:ext cx="1514475" cy="3311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Closed Loans</a:t>
            </a:r>
          </a:p>
        </xdr:txBody>
      </xdr:sp>
      <xdr:sp macro="" textlink="'Sheet Design'!B4">
        <xdr:nvSpPr>
          <xdr:cNvPr id="75" name="Rectangle: Rounded Corners 74">
            <a:extLst>
              <a:ext uri="{FF2B5EF4-FFF2-40B4-BE49-F238E27FC236}">
                <a16:creationId xmlns:a16="http://schemas.microsoft.com/office/drawing/2014/main" id="{3AABF7BD-1FB3-72C1-6295-B3F910D372B7}"/>
              </a:ext>
            </a:extLst>
          </xdr:cNvPr>
          <xdr:cNvSpPr/>
        </xdr:nvSpPr>
        <xdr:spPr>
          <a:xfrm>
            <a:off x="14611350" y="2072972"/>
            <a:ext cx="1524000" cy="365427"/>
          </a:xfrm>
          <a:prstGeom prst="roundRect">
            <a:avLst/>
          </a:prstGeom>
          <a:solidFill>
            <a:schemeClr val="accent2">
              <a:lumMod val="20000"/>
              <a:lumOff val="8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noAutofit/>
          </a:bodyPr>
          <a:lstStyle/>
          <a:p>
            <a:pPr algn="l"/>
            <a:fld id="{2FB6ABC0-8EDF-4E4B-B9AB-04BE1D6FFF20}" type="TxLink">
              <a:rPr lang="en-US" sz="1100" b="0" i="0" u="none" strike="noStrike">
                <a:solidFill>
                  <a:srgbClr val="000000"/>
                </a:solidFill>
                <a:effectLst>
                  <a:glow rad="228600">
                    <a:schemeClr val="bg1">
                      <a:alpha val="40000"/>
                    </a:schemeClr>
                  </a:glow>
                </a:effectLst>
                <a:latin typeface="Calibri"/>
                <a:ea typeface="Calibri"/>
                <a:cs typeface="Calibri"/>
              </a:rPr>
              <a:pPr algn="l"/>
              <a:t>38.6K</a:t>
            </a:fld>
            <a:endParaRPr lang="en-IN" sz="1100">
              <a:effectLst>
                <a:glow rad="228600">
                  <a:schemeClr val="bg1">
                    <a:alpha val="40000"/>
                  </a:schemeClr>
                </a:glow>
              </a:effectLst>
            </a:endParaRPr>
          </a:p>
        </xdr:txBody>
      </xdr:sp>
      <xdr:sp macro="" textlink="'Sheet Design'!J4">
        <xdr:nvSpPr>
          <xdr:cNvPr id="76" name="Rectangle: Rounded Corners 75">
            <a:extLst>
              <a:ext uri="{FF2B5EF4-FFF2-40B4-BE49-F238E27FC236}">
                <a16:creationId xmlns:a16="http://schemas.microsoft.com/office/drawing/2014/main" id="{7E43306F-BA44-4570-BBF6-E3FE388BCF0B}"/>
              </a:ext>
            </a:extLst>
          </xdr:cNvPr>
          <xdr:cNvSpPr/>
        </xdr:nvSpPr>
        <xdr:spPr>
          <a:xfrm>
            <a:off x="15606712" y="2733675"/>
            <a:ext cx="1524000" cy="381000"/>
          </a:xfrm>
          <a:prstGeom prst="roundRect">
            <a:avLst/>
          </a:prstGeom>
          <a:solidFill>
            <a:schemeClr val="accent2">
              <a:lumMod val="20000"/>
              <a:lumOff val="8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noAutofit/>
          </a:bodyPr>
          <a:lstStyle/>
          <a:p>
            <a:pPr marL="0" indent="0" algn="l"/>
            <a:fld id="{E66E9D42-C9F1-45C3-8B4E-8FB12A91C4F0}" type="TxLink">
              <a:rPr lang="en-US" sz="1100" b="0" i="0" u="none" strike="noStrike">
                <a:solidFill>
                  <a:srgbClr val="000000"/>
                </a:solidFill>
                <a:effectLst>
                  <a:glow rad="228600">
                    <a:schemeClr val="bg1">
                      <a:alpha val="40000"/>
                    </a:schemeClr>
                  </a:glow>
                </a:effectLst>
                <a:latin typeface="Calibri"/>
                <a:ea typeface="Calibri"/>
                <a:cs typeface="Calibri"/>
              </a:rPr>
              <a:pPr marL="0" indent="0" algn="l"/>
              <a:t>1098</a:t>
            </a:fld>
            <a:endParaRPr lang="en-IN" sz="1100" b="0" i="0" u="none" strike="noStrike">
              <a:solidFill>
                <a:srgbClr val="000000"/>
              </a:solidFill>
              <a:effectLst>
                <a:glow rad="228600">
                  <a:schemeClr val="bg1">
                    <a:alpha val="40000"/>
                  </a:schemeClr>
                </a:glow>
              </a:effectLst>
              <a:latin typeface="Calibri"/>
              <a:ea typeface="Calibri"/>
              <a:cs typeface="Calibri"/>
            </a:endParaRPr>
          </a:p>
        </xdr:txBody>
      </xdr:sp>
      <xdr:sp macro="" textlink="'Sheet Design'!K4">
        <xdr:nvSpPr>
          <xdr:cNvPr id="77" name="Rectangle: Rounded Corners 76">
            <a:extLst>
              <a:ext uri="{FF2B5EF4-FFF2-40B4-BE49-F238E27FC236}">
                <a16:creationId xmlns:a16="http://schemas.microsoft.com/office/drawing/2014/main" id="{0B79FE7D-4E9A-423F-BCD0-A88BB1AED0A5}"/>
              </a:ext>
            </a:extLst>
          </xdr:cNvPr>
          <xdr:cNvSpPr/>
        </xdr:nvSpPr>
        <xdr:spPr>
          <a:xfrm>
            <a:off x="15606712" y="3476625"/>
            <a:ext cx="1524000" cy="361950"/>
          </a:xfrm>
          <a:prstGeom prst="roundRect">
            <a:avLst/>
          </a:prstGeom>
          <a:solidFill>
            <a:schemeClr val="accent2">
              <a:lumMod val="20000"/>
              <a:lumOff val="8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noAutofit/>
          </a:bodyPr>
          <a:lstStyle/>
          <a:p>
            <a:pPr marL="0" indent="0" algn="l"/>
            <a:fld id="{CB248E3D-F658-4BB6-9563-B7559E98A28C}" type="TxLink">
              <a:rPr lang="en-US" sz="1100" b="0" i="0" u="none" strike="noStrike">
                <a:solidFill>
                  <a:srgbClr val="000000"/>
                </a:solidFill>
                <a:effectLst>
                  <a:glow rad="228600">
                    <a:schemeClr val="bg1">
                      <a:alpha val="40000"/>
                    </a:schemeClr>
                  </a:glow>
                </a:effectLst>
                <a:latin typeface="Calibri"/>
                <a:ea typeface="Calibri"/>
                <a:cs typeface="Calibri"/>
              </a:rPr>
              <a:pPr marL="0" indent="0" algn="l"/>
              <a:t>5333</a:t>
            </a:fld>
            <a:endParaRPr lang="en-IN" sz="1100" b="0" i="0" u="none" strike="noStrike">
              <a:solidFill>
                <a:srgbClr val="000000"/>
              </a:solidFill>
              <a:effectLst>
                <a:glow rad="228600">
                  <a:schemeClr val="bg1">
                    <a:alpha val="40000"/>
                  </a:schemeClr>
                </a:glow>
              </a:effectLst>
              <a:latin typeface="Calibri"/>
              <a:ea typeface="Calibri"/>
              <a:cs typeface="Calibri"/>
            </a:endParaRPr>
          </a:p>
        </xdr:txBody>
      </xdr:sp>
      <xdr:sp macro="" textlink="'Sheet Design'!L4">
        <xdr:nvSpPr>
          <xdr:cNvPr id="78" name="Rectangle: Rounded Corners 77">
            <a:extLst>
              <a:ext uri="{FF2B5EF4-FFF2-40B4-BE49-F238E27FC236}">
                <a16:creationId xmlns:a16="http://schemas.microsoft.com/office/drawing/2014/main" id="{56FBC3A5-BF25-4282-BED9-BC0F77C53607}"/>
              </a:ext>
            </a:extLst>
          </xdr:cNvPr>
          <xdr:cNvSpPr/>
        </xdr:nvSpPr>
        <xdr:spPr>
          <a:xfrm>
            <a:off x="15606712" y="4200525"/>
            <a:ext cx="1524000" cy="381000"/>
          </a:xfrm>
          <a:prstGeom prst="roundRect">
            <a:avLst/>
          </a:prstGeom>
          <a:solidFill>
            <a:schemeClr val="accent2">
              <a:lumMod val="20000"/>
              <a:lumOff val="8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noAutofit/>
          </a:bodyPr>
          <a:lstStyle/>
          <a:p>
            <a:pPr marL="0" indent="0" algn="l"/>
            <a:fld id="{FC3A4865-517B-45BE-A492-66C2D9937F10}" type="TxLink">
              <a:rPr lang="en-US" sz="1100" b="0" i="0" u="none" strike="noStrike">
                <a:solidFill>
                  <a:srgbClr val="000000"/>
                </a:solidFill>
                <a:effectLst>
                  <a:glow rad="228600">
                    <a:schemeClr val="bg1">
                      <a:alpha val="40000"/>
                    </a:schemeClr>
                  </a:glow>
                </a:effectLst>
                <a:latin typeface="Calibri"/>
                <a:ea typeface="Calibri"/>
                <a:cs typeface="Calibri"/>
              </a:rPr>
              <a:pPr marL="0" indent="0" algn="l"/>
              <a:t>32145</a:t>
            </a:fld>
            <a:endParaRPr lang="en-IN" sz="1100" b="0" i="0" u="none" strike="noStrike">
              <a:solidFill>
                <a:srgbClr val="000000"/>
              </a:solidFill>
              <a:effectLst>
                <a:glow rad="228600">
                  <a:schemeClr val="bg1">
                    <a:alpha val="40000"/>
                  </a:schemeClr>
                </a:glow>
              </a:effectLst>
              <a:latin typeface="Calibri"/>
              <a:ea typeface="Calibri"/>
              <a:cs typeface="Calibri"/>
            </a:endParaRPr>
          </a:p>
        </xdr:txBody>
      </xdr:sp>
    </xdr:grpSp>
    <xdr:clientData/>
  </xdr:twoCellAnchor>
  <xdr:twoCellAnchor editAs="oneCell">
    <xdr:from>
      <xdr:col>0</xdr:col>
      <xdr:colOff>133349</xdr:colOff>
      <xdr:row>0</xdr:row>
      <xdr:rowOff>85724</xdr:rowOff>
    </xdr:from>
    <xdr:to>
      <xdr:col>2</xdr:col>
      <xdr:colOff>161924</xdr:colOff>
      <xdr:row>8</xdr:row>
      <xdr:rowOff>1747</xdr:rowOff>
    </xdr:to>
    <xdr:pic>
      <xdr:nvPicPr>
        <xdr:cNvPr id="80" name="Picture 79">
          <a:extLst>
            <a:ext uri="{FF2B5EF4-FFF2-40B4-BE49-F238E27FC236}">
              <a16:creationId xmlns:a16="http://schemas.microsoft.com/office/drawing/2014/main" id="{8DC58FDA-05CD-3BB9-0AE1-1DF395DF5565}"/>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76547" t="32905" r="7643" b="33639"/>
        <a:stretch/>
      </xdr:blipFill>
      <xdr:spPr>
        <a:xfrm>
          <a:off x="133349" y="85724"/>
          <a:ext cx="1247775" cy="1363823"/>
        </a:xfrm>
        <a:prstGeom prst="rect">
          <a:avLst/>
        </a:prstGeom>
        <a:effectLst>
          <a:outerShdw blurRad="50800" dist="38100" dir="5400000" algn="t" rotWithShape="0">
            <a:prstClr val="black">
              <a:alpha val="40000"/>
            </a:prstClr>
          </a:outerShdw>
        </a:effectLst>
      </xdr:spPr>
    </xdr:pic>
    <xdr:clientData/>
  </xdr:twoCellAnchor>
  <xdr:twoCellAnchor editAs="oneCell">
    <xdr:from>
      <xdr:col>0</xdr:col>
      <xdr:colOff>123825</xdr:colOff>
      <xdr:row>9</xdr:row>
      <xdr:rowOff>85726</xdr:rowOff>
    </xdr:from>
    <xdr:to>
      <xdr:col>2</xdr:col>
      <xdr:colOff>247650</xdr:colOff>
      <xdr:row>15</xdr:row>
      <xdr:rowOff>19050</xdr:rowOff>
    </xdr:to>
    <xdr:pic>
      <xdr:nvPicPr>
        <xdr:cNvPr id="82" name="Picture 81">
          <a:extLst>
            <a:ext uri="{FF2B5EF4-FFF2-40B4-BE49-F238E27FC236}">
              <a16:creationId xmlns:a16="http://schemas.microsoft.com/office/drawing/2014/main" id="{0C8FD182-1954-ADB4-5709-64B34CC3B2BC}"/>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8786" t="20955" r="60000" b="52206"/>
        <a:stretch/>
      </xdr:blipFill>
      <xdr:spPr>
        <a:xfrm>
          <a:off x="123825" y="1714501"/>
          <a:ext cx="1343025" cy="1019174"/>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142875</xdr:colOff>
      <xdr:row>17</xdr:row>
      <xdr:rowOff>114300</xdr:rowOff>
    </xdr:from>
    <xdr:to>
      <xdr:col>2</xdr:col>
      <xdr:colOff>238125</xdr:colOff>
      <xdr:row>23</xdr:row>
      <xdr:rowOff>60672</xdr:rowOff>
    </xdr:to>
    <xdr:pic>
      <xdr:nvPicPr>
        <xdr:cNvPr id="84" name="Picture 83">
          <a:hlinkClick xmlns:r="http://schemas.openxmlformats.org/officeDocument/2006/relationships" r:id="rId3"/>
          <a:extLst>
            <a:ext uri="{FF2B5EF4-FFF2-40B4-BE49-F238E27FC236}">
              <a16:creationId xmlns:a16="http://schemas.microsoft.com/office/drawing/2014/main" id="{20B7FA64-53F4-F078-8C26-265A30D73934}"/>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3016" t="21324" r="27818" b="52206"/>
        <a:stretch/>
      </xdr:blipFill>
      <xdr:spPr>
        <a:xfrm>
          <a:off x="142875" y="3190875"/>
          <a:ext cx="1314450" cy="1032222"/>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123824</xdr:colOff>
      <xdr:row>25</xdr:row>
      <xdr:rowOff>57151</xdr:rowOff>
    </xdr:from>
    <xdr:to>
      <xdr:col>2</xdr:col>
      <xdr:colOff>276225</xdr:colOff>
      <xdr:row>31</xdr:row>
      <xdr:rowOff>76201</xdr:rowOff>
    </xdr:to>
    <xdr:pic>
      <xdr:nvPicPr>
        <xdr:cNvPr id="86" name="Picture 85">
          <a:hlinkClick xmlns:r="http://schemas.openxmlformats.org/officeDocument/2006/relationships" r:id="rId5"/>
          <a:extLst>
            <a:ext uri="{FF2B5EF4-FFF2-40B4-BE49-F238E27FC236}">
              <a16:creationId xmlns:a16="http://schemas.microsoft.com/office/drawing/2014/main" id="{3163623A-9660-9B1B-10D2-86C3B3650511}"/>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8088" t="50919" r="59296" b="21875"/>
        <a:stretch/>
      </xdr:blipFill>
      <xdr:spPr>
        <a:xfrm>
          <a:off x="123824" y="4581526"/>
          <a:ext cx="1371601" cy="1104900"/>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152401</xdr:colOff>
      <xdr:row>33</xdr:row>
      <xdr:rowOff>104775</xdr:rowOff>
    </xdr:from>
    <xdr:to>
      <xdr:col>2</xdr:col>
      <xdr:colOff>228600</xdr:colOff>
      <xdr:row>39</xdr:row>
      <xdr:rowOff>123825</xdr:rowOff>
    </xdr:to>
    <xdr:pic>
      <xdr:nvPicPr>
        <xdr:cNvPr id="88" name="Picture 87">
          <a:hlinkClick xmlns:r="http://schemas.openxmlformats.org/officeDocument/2006/relationships" r:id="rId7"/>
          <a:extLst>
            <a:ext uri="{FF2B5EF4-FFF2-40B4-BE49-F238E27FC236}">
              <a16:creationId xmlns:a16="http://schemas.microsoft.com/office/drawing/2014/main" id="{7909D850-146F-CDC0-BAC7-E126D11DACA2}"/>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2524" t="51286" r="27819" b="22427"/>
        <a:stretch/>
      </xdr:blipFill>
      <xdr:spPr>
        <a:xfrm>
          <a:off x="152401" y="6076950"/>
          <a:ext cx="1295399" cy="1104900"/>
        </a:xfrm>
        <a:prstGeom prst="rect">
          <a:avLst/>
        </a:prstGeom>
        <a:effectLst>
          <a:outerShdw blurRad="50800" dist="38100" dir="2700000" algn="tl" rotWithShape="0">
            <a:prstClr val="black">
              <a:alpha val="40000"/>
            </a:prstClr>
          </a:outerShdw>
        </a:effectLst>
      </xdr:spPr>
    </xdr:pic>
    <xdr:clientData/>
  </xdr:twoCellAnchor>
  <xdr:oneCellAnchor>
    <xdr:from>
      <xdr:col>2</xdr:col>
      <xdr:colOff>590549</xdr:colOff>
      <xdr:row>1</xdr:row>
      <xdr:rowOff>123825</xdr:rowOff>
    </xdr:from>
    <xdr:ext cx="11249026" cy="501740"/>
    <xdr:sp macro="" textlink="">
      <xdr:nvSpPr>
        <xdr:cNvPr id="92" name="TextBox 91">
          <a:extLst>
            <a:ext uri="{FF2B5EF4-FFF2-40B4-BE49-F238E27FC236}">
              <a16:creationId xmlns:a16="http://schemas.microsoft.com/office/drawing/2014/main" id="{1C5E6C65-A5F6-DADF-49F8-EC4ACE860868}"/>
            </a:ext>
          </a:extLst>
        </xdr:cNvPr>
        <xdr:cNvSpPr txBox="1"/>
      </xdr:nvSpPr>
      <xdr:spPr>
        <a:xfrm>
          <a:off x="1809749" y="304800"/>
          <a:ext cx="11249026" cy="501740"/>
        </a:xfrm>
        <a:prstGeom prst="rect">
          <a:avLst/>
        </a:prstGeom>
        <a:noFill/>
        <a:effectLst>
          <a:outerShdw blurRad="50800" dist="38100" dir="8100000" algn="tr"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r>
            <a:rPr lang="en-IN" sz="2400" u="sng">
              <a:solidFill>
                <a:schemeClr val="tx1"/>
              </a:solidFill>
              <a:latin typeface="Segoe UI Semibold" panose="020B0702040204020203" pitchFamily="34" charset="0"/>
              <a:ea typeface="+mn-ea"/>
              <a:cs typeface="Segoe UI Semibold" panose="020B0702040204020203" pitchFamily="34" charset="0"/>
            </a:rPr>
            <a:t>Bank Loan Health Monitoring &amp; Predictive Insights</a:t>
          </a:r>
        </a:p>
      </xdr:txBody>
    </xdr:sp>
    <xdr:clientData/>
  </xdr:oneCellAnchor>
  <xdr:oneCellAnchor>
    <xdr:from>
      <xdr:col>3</xdr:col>
      <xdr:colOff>361950</xdr:colOff>
      <xdr:row>3</xdr:row>
      <xdr:rowOff>171450</xdr:rowOff>
    </xdr:from>
    <xdr:ext cx="6056145" cy="262892"/>
    <xdr:sp macro="" textlink="">
      <xdr:nvSpPr>
        <xdr:cNvPr id="93" name="TextBox 92">
          <a:extLst>
            <a:ext uri="{FF2B5EF4-FFF2-40B4-BE49-F238E27FC236}">
              <a16:creationId xmlns:a16="http://schemas.microsoft.com/office/drawing/2014/main" id="{54FA754A-37F5-C44A-0D1E-AAFC6010AF7C}"/>
            </a:ext>
          </a:extLst>
        </xdr:cNvPr>
        <xdr:cNvSpPr txBox="1"/>
      </xdr:nvSpPr>
      <xdr:spPr>
        <a:xfrm>
          <a:off x="2190750" y="714375"/>
          <a:ext cx="6056145" cy="262892"/>
        </a:xfrm>
        <a:prstGeom prst="rect">
          <a:avLst/>
        </a:prstGeom>
        <a:noFill/>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000">
              <a:latin typeface="Segoe UI Semibold" panose="020B0702040204020203" pitchFamily="34" charset="0"/>
              <a:cs typeface="Segoe UI Semibold" panose="020B0702040204020203" pitchFamily="34" charset="0"/>
            </a:rPr>
            <a:t>An end-to-end data-driven assessment of loan performance, borrower risk, and economic influences.</a:t>
          </a:r>
        </a:p>
      </xdr:txBody>
    </xdr:sp>
    <xdr:clientData/>
  </xdr:oneCellAnchor>
  <xdr:twoCellAnchor>
    <xdr:from>
      <xdr:col>23</xdr:col>
      <xdr:colOff>476248</xdr:colOff>
      <xdr:row>0</xdr:row>
      <xdr:rowOff>180974</xdr:rowOff>
    </xdr:from>
    <xdr:to>
      <xdr:col>29</xdr:col>
      <xdr:colOff>38093</xdr:colOff>
      <xdr:row>7</xdr:row>
      <xdr:rowOff>76196</xdr:rowOff>
    </xdr:to>
    <xdr:sp macro="" textlink="">
      <xdr:nvSpPr>
        <xdr:cNvPr id="97" name="Rectangle: Top Corners Rounded 96">
          <a:extLst>
            <a:ext uri="{FF2B5EF4-FFF2-40B4-BE49-F238E27FC236}">
              <a16:creationId xmlns:a16="http://schemas.microsoft.com/office/drawing/2014/main" id="{528BEF5D-90E2-DBEA-A38C-3B25B7F68766}"/>
            </a:ext>
          </a:extLst>
        </xdr:cNvPr>
        <xdr:cNvSpPr/>
      </xdr:nvSpPr>
      <xdr:spPr>
        <a:xfrm rot="10800000">
          <a:off x="14497048" y="180974"/>
          <a:ext cx="3219445" cy="1162047"/>
        </a:xfrm>
        <a:prstGeom prst="round2SameRect">
          <a:avLst/>
        </a:prstGeom>
        <a:solidFill>
          <a:schemeClr val="accent2"/>
        </a:solidFill>
        <a:ln>
          <a:noFill/>
        </a:ln>
        <a:effectLst>
          <a:outerShdw blurRad="50800" dist="50800" dir="60000" algn="ctr" rotWithShape="0">
            <a:srgbClr val="000000">
              <a:alpha val="43137"/>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rtlCol="0" anchor="t" anchorCtr="0"/>
        <a:lstStyle/>
        <a:p>
          <a:pPr algn="l"/>
          <a:endParaRPr lang="en-IN" sz="1400">
            <a:effectLst>
              <a:outerShdw blurRad="50800" dist="50800" dir="600000" algn="ctr" rotWithShape="0">
                <a:srgbClr val="000000">
                  <a:alpha val="43137"/>
                </a:srgbClr>
              </a:outerShdw>
            </a:effectLst>
            <a:latin typeface="Segoe UI Semibold" panose="020B0702040204020203" pitchFamily="34" charset="0"/>
            <a:cs typeface="Segoe UI Semibold" panose="020B0702040204020203" pitchFamily="34" charset="0"/>
          </a:endParaRPr>
        </a:p>
      </xdr:txBody>
    </xdr:sp>
    <xdr:clientData/>
  </xdr:twoCellAnchor>
  <xdr:oneCellAnchor>
    <xdr:from>
      <xdr:col>23</xdr:col>
      <xdr:colOff>495300</xdr:colOff>
      <xdr:row>1</xdr:row>
      <xdr:rowOff>15062</xdr:rowOff>
    </xdr:from>
    <xdr:ext cx="2801088" cy="365228"/>
    <xdr:sp macro="" textlink="">
      <xdr:nvSpPr>
        <xdr:cNvPr id="98" name="TextBox 97">
          <a:extLst>
            <a:ext uri="{FF2B5EF4-FFF2-40B4-BE49-F238E27FC236}">
              <a16:creationId xmlns:a16="http://schemas.microsoft.com/office/drawing/2014/main" id="{92CC58E5-8C03-AEB2-3276-377FE855CCF5}"/>
            </a:ext>
          </a:extLst>
        </xdr:cNvPr>
        <xdr:cNvSpPr txBox="1"/>
      </xdr:nvSpPr>
      <xdr:spPr>
        <a:xfrm>
          <a:off x="14516100" y="196037"/>
          <a:ext cx="2801088" cy="365228"/>
        </a:xfrm>
        <a:prstGeom prst="rect">
          <a:avLst/>
        </a:prstGeom>
        <a:solidFill>
          <a:schemeClr val="accent2"/>
        </a:solidFill>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l"/>
          <a:r>
            <a:rPr lang="en-IN" sz="1600">
              <a:solidFill>
                <a:schemeClr val="bg1"/>
              </a:solidFill>
              <a:effectLst>
                <a:outerShdw blurRad="50800" dist="38100" dir="8100000" algn="tr" rotWithShape="0">
                  <a:prstClr val="black">
                    <a:alpha val="40000"/>
                  </a:prstClr>
                </a:outerShdw>
              </a:effectLst>
              <a:latin typeface="Segoe UI Semibold" panose="020B0702040204020203" pitchFamily="34" charset="0"/>
              <a:cs typeface="Segoe UI Semibold" panose="020B0702040204020203" pitchFamily="34" charset="0"/>
            </a:rPr>
            <a:t>Loan Performance Overview</a:t>
          </a:r>
        </a:p>
      </xdr:txBody>
    </xdr:sp>
    <xdr:clientData/>
  </xdr:oneCellAnchor>
  <xdr:oneCellAnchor>
    <xdr:from>
      <xdr:col>23</xdr:col>
      <xdr:colOff>514350</xdr:colOff>
      <xdr:row>2</xdr:row>
      <xdr:rowOff>171448</xdr:rowOff>
    </xdr:from>
    <xdr:ext cx="3133725" cy="695327"/>
    <xdr:sp macro="" textlink="">
      <xdr:nvSpPr>
        <xdr:cNvPr id="99" name="TextBox 98">
          <a:extLst>
            <a:ext uri="{FF2B5EF4-FFF2-40B4-BE49-F238E27FC236}">
              <a16:creationId xmlns:a16="http://schemas.microsoft.com/office/drawing/2014/main" id="{242FAC0D-4538-E544-3733-4A0DE2795ED5}"/>
            </a:ext>
          </a:extLst>
        </xdr:cNvPr>
        <xdr:cNvSpPr txBox="1"/>
      </xdr:nvSpPr>
      <xdr:spPr>
        <a:xfrm>
          <a:off x="14535150" y="533398"/>
          <a:ext cx="3133725" cy="6953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a:solidFill>
                <a:schemeClr val="accent2">
                  <a:lumMod val="20000"/>
                  <a:lumOff val="80000"/>
                </a:schemeClr>
              </a:solidFill>
            </a:rPr>
            <a:t>Tracking repayment trends, borrower grades, and loan status patterns to evaluate financial health.</a:t>
          </a:r>
          <a:endParaRPr lang="en-IN" sz="1100">
            <a:solidFill>
              <a:schemeClr val="accent2">
                <a:lumMod val="20000"/>
                <a:lumOff val="80000"/>
              </a:schemeClr>
            </a:solidFill>
          </a:endParaRPr>
        </a:p>
      </xdr:txBody>
    </xdr:sp>
    <xdr:clientData/>
  </xdr:oneCellAnchor>
  <xdr:oneCellAnchor>
    <xdr:from>
      <xdr:col>3</xdr:col>
      <xdr:colOff>114300</xdr:colOff>
      <xdr:row>9</xdr:row>
      <xdr:rowOff>13715</xdr:rowOff>
    </xdr:from>
    <xdr:ext cx="1266825" cy="774571"/>
    <xdr:sp macro="" textlink="">
      <xdr:nvSpPr>
        <xdr:cNvPr id="100" name="TextBox 99">
          <a:extLst>
            <a:ext uri="{FF2B5EF4-FFF2-40B4-BE49-F238E27FC236}">
              <a16:creationId xmlns:a16="http://schemas.microsoft.com/office/drawing/2014/main" id="{F1D5373B-692F-4DB5-9C18-74E662A39671}"/>
            </a:ext>
          </a:extLst>
        </xdr:cNvPr>
        <xdr:cNvSpPr txBox="1"/>
      </xdr:nvSpPr>
      <xdr:spPr>
        <a:xfrm>
          <a:off x="1943100" y="1642490"/>
          <a:ext cx="1266825" cy="7745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Funded</a:t>
          </a:r>
          <a:r>
            <a:rPr lang="en-IN" sz="20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 Amount</a:t>
          </a:r>
          <a:endParaRPr lang="en-IN" sz="2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twoCellAnchor editAs="oneCell">
    <xdr:from>
      <xdr:col>0</xdr:col>
      <xdr:colOff>200026</xdr:colOff>
      <xdr:row>41</xdr:row>
      <xdr:rowOff>66676</xdr:rowOff>
    </xdr:from>
    <xdr:to>
      <xdr:col>0</xdr:col>
      <xdr:colOff>561975</xdr:colOff>
      <xdr:row>43</xdr:row>
      <xdr:rowOff>66675</xdr:rowOff>
    </xdr:to>
    <xdr:pic>
      <xdr:nvPicPr>
        <xdr:cNvPr id="103" name="Picture 102">
          <a:extLst>
            <a:ext uri="{FF2B5EF4-FFF2-40B4-BE49-F238E27FC236}">
              <a16:creationId xmlns:a16="http://schemas.microsoft.com/office/drawing/2014/main" id="{E6206962-B447-661F-06BE-DFD8F1021EF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00026" y="7486651"/>
          <a:ext cx="361949" cy="361949"/>
        </a:xfrm>
        <a:prstGeom prst="rect">
          <a:avLst/>
        </a:prstGeom>
        <a:effectLst>
          <a:outerShdw blurRad="50800" dist="38100" dir="2700000" algn="tl" rotWithShape="0">
            <a:prstClr val="black">
              <a:alpha val="40000"/>
            </a:prstClr>
          </a:outerShdw>
        </a:effectLst>
      </xdr:spPr>
    </xdr:pic>
    <xdr:clientData/>
  </xdr:twoCellAnchor>
  <xdr:twoCellAnchor>
    <xdr:from>
      <xdr:col>3</xdr:col>
      <xdr:colOff>401740</xdr:colOff>
      <xdr:row>13</xdr:row>
      <xdr:rowOff>7787</xdr:rowOff>
    </xdr:from>
    <xdr:to>
      <xdr:col>5</xdr:col>
      <xdr:colOff>392140</xdr:colOff>
      <xdr:row>16</xdr:row>
      <xdr:rowOff>87662</xdr:rowOff>
    </xdr:to>
    <xdr:sp macro="" textlink="'Sheet Design'!C4">
      <xdr:nvSpPr>
        <xdr:cNvPr id="12" name="Oval 11">
          <a:extLst>
            <a:ext uri="{FF2B5EF4-FFF2-40B4-BE49-F238E27FC236}">
              <a16:creationId xmlns:a16="http://schemas.microsoft.com/office/drawing/2014/main" id="{A3F64A40-C6D1-20F3-9EC4-C5268D40123E}"/>
            </a:ext>
          </a:extLst>
        </xdr:cNvPr>
        <xdr:cNvSpPr/>
      </xdr:nvSpPr>
      <xdr:spPr>
        <a:xfrm>
          <a:off x="2230540" y="2360462"/>
          <a:ext cx="1209600" cy="622800"/>
        </a:xfrm>
        <a:prstGeom prst="ellipse">
          <a:avLst/>
        </a:prstGeom>
        <a:solidFill>
          <a:schemeClr val="bg2">
            <a:lumMod val="75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nchorCtr="1"/>
        <a:lstStyle/>
        <a:p>
          <a:pPr algn="l"/>
          <a:fld id="{4450CF3F-D3FF-490F-8267-4D0C2D81616A}" type="TxLink">
            <a:rPr lang="en-US" sz="1400" b="0" i="0" u="none" strike="noStrike">
              <a:ln>
                <a:noFill/>
              </a:ln>
              <a:solidFill>
                <a:schemeClr val="bg1"/>
              </a:solidFill>
              <a:latin typeface="Calibri"/>
              <a:ea typeface="Calibri"/>
              <a:cs typeface="Calibri"/>
            </a:rPr>
            <a:pPr algn="l"/>
            <a:t>$435.8M</a:t>
          </a:fld>
          <a:endParaRPr lang="en-IN" sz="1400">
            <a:ln>
              <a:noFill/>
            </a:ln>
            <a:solidFill>
              <a:schemeClr val="bg1"/>
            </a:solidFill>
          </a:endParaRPr>
        </a:p>
      </xdr:txBody>
    </xdr:sp>
    <xdr:clientData/>
  </xdr:twoCellAnchor>
  <xdr:twoCellAnchor editAs="oneCell">
    <xdr:from>
      <xdr:col>21</xdr:col>
      <xdr:colOff>57149</xdr:colOff>
      <xdr:row>1</xdr:row>
      <xdr:rowOff>9525</xdr:rowOff>
    </xdr:from>
    <xdr:to>
      <xdr:col>23</xdr:col>
      <xdr:colOff>400050</xdr:colOff>
      <xdr:row>7</xdr:row>
      <xdr:rowOff>28875</xdr:rowOff>
    </xdr:to>
    <mc:AlternateContent xmlns:mc="http://schemas.openxmlformats.org/markup-compatibility/2006" xmlns:a14="http://schemas.microsoft.com/office/drawing/2010/main">
      <mc:Choice Requires="a14">
        <xdr:graphicFrame macro="">
          <xdr:nvGraphicFramePr>
            <xdr:cNvPr id="105" name="borrower_experience_flag">
              <a:extLst>
                <a:ext uri="{FF2B5EF4-FFF2-40B4-BE49-F238E27FC236}">
                  <a16:creationId xmlns:a16="http://schemas.microsoft.com/office/drawing/2014/main" id="{220685D4-7F68-4681-B0C7-23754A238835}"/>
                </a:ext>
              </a:extLst>
            </xdr:cNvPr>
            <xdr:cNvGraphicFramePr/>
          </xdr:nvGraphicFramePr>
          <xdr:xfrm>
            <a:off x="0" y="0"/>
            <a:ext cx="0" cy="0"/>
          </xdr:xfrm>
          <a:graphic>
            <a:graphicData uri="http://schemas.microsoft.com/office/drawing/2010/slicer">
              <sle:slicer xmlns:sle="http://schemas.microsoft.com/office/drawing/2010/slicer" name="borrower_experience_flag"/>
            </a:graphicData>
          </a:graphic>
        </xdr:graphicFrame>
      </mc:Choice>
      <mc:Fallback xmlns="">
        <xdr:sp macro="" textlink="">
          <xdr:nvSpPr>
            <xdr:cNvPr id="0" name=""/>
            <xdr:cNvSpPr>
              <a:spLocks noTextEdit="1"/>
            </xdr:cNvSpPr>
          </xdr:nvSpPr>
          <xdr:spPr>
            <a:xfrm>
              <a:off x="12858749" y="190500"/>
              <a:ext cx="1562101" cy="1105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219075</xdr:colOff>
      <xdr:row>1</xdr:row>
      <xdr:rowOff>19051</xdr:rowOff>
    </xdr:from>
    <xdr:to>
      <xdr:col>17</xdr:col>
      <xdr:colOff>228601</xdr:colOff>
      <xdr:row>7</xdr:row>
      <xdr:rowOff>38101</xdr:rowOff>
    </xdr:to>
    <mc:AlternateContent xmlns:mc="http://schemas.openxmlformats.org/markup-compatibility/2006" xmlns:a14="http://schemas.microsoft.com/office/drawing/2010/main">
      <mc:Choice Requires="a14">
        <xdr:graphicFrame macro="">
          <xdr:nvGraphicFramePr>
            <xdr:cNvPr id="106" name="address_state">
              <a:extLst>
                <a:ext uri="{FF2B5EF4-FFF2-40B4-BE49-F238E27FC236}">
                  <a16:creationId xmlns:a16="http://schemas.microsoft.com/office/drawing/2014/main" id="{EE8D0693-772A-4D42-813B-11AC26CFEC80}"/>
                </a:ext>
              </a:extLst>
            </xdr:cNvPr>
            <xdr:cNvGraphicFramePr/>
          </xdr:nvGraphicFramePr>
          <xdr:xfrm>
            <a:off x="0" y="0"/>
            <a:ext cx="0" cy="0"/>
          </xdr:xfrm>
          <a:graphic>
            <a:graphicData uri="http://schemas.microsoft.com/office/drawing/2010/slicer">
              <sle:slicer xmlns:sle="http://schemas.microsoft.com/office/drawing/2010/slicer" name="address_state"/>
            </a:graphicData>
          </a:graphic>
        </xdr:graphicFrame>
      </mc:Choice>
      <mc:Fallback xmlns="">
        <xdr:sp macro="" textlink="">
          <xdr:nvSpPr>
            <xdr:cNvPr id="0" name=""/>
            <xdr:cNvSpPr>
              <a:spLocks noTextEdit="1"/>
            </xdr:cNvSpPr>
          </xdr:nvSpPr>
          <xdr:spPr>
            <a:xfrm>
              <a:off x="9363075" y="200026"/>
              <a:ext cx="1228726" cy="1104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133350</xdr:colOff>
      <xdr:row>9</xdr:row>
      <xdr:rowOff>85725</xdr:rowOff>
    </xdr:from>
    <xdr:to>
      <xdr:col>2</xdr:col>
      <xdr:colOff>266700</xdr:colOff>
      <xdr:row>15</xdr:row>
      <xdr:rowOff>0</xdr:rowOff>
    </xdr:to>
    <xdr:sp macro="" textlink="">
      <xdr:nvSpPr>
        <xdr:cNvPr id="110" name="Rectangle: Rounded Corners 109">
          <a:extLst>
            <a:ext uri="{FF2B5EF4-FFF2-40B4-BE49-F238E27FC236}">
              <a16:creationId xmlns:a16="http://schemas.microsoft.com/office/drawing/2014/main" id="{8C0273A1-31CF-54CD-D903-069863925AF6}"/>
            </a:ext>
          </a:extLst>
        </xdr:cNvPr>
        <xdr:cNvSpPr/>
      </xdr:nvSpPr>
      <xdr:spPr>
        <a:xfrm>
          <a:off x="133350" y="1714500"/>
          <a:ext cx="1352550" cy="1000125"/>
        </a:xfrm>
        <a:prstGeom prst="roundRect">
          <a:avLst/>
        </a:prstGeom>
        <a:solidFill>
          <a:schemeClr val="accent1">
            <a:alpha val="2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17</xdr:col>
      <xdr:colOff>285750</xdr:colOff>
      <xdr:row>1</xdr:row>
      <xdr:rowOff>9526</xdr:rowOff>
    </xdr:from>
    <xdr:to>
      <xdr:col>19</xdr:col>
      <xdr:colOff>171450</xdr:colOff>
      <xdr:row>7</xdr:row>
      <xdr:rowOff>28876</xdr:rowOff>
    </xdr:to>
    <mc:AlternateContent xmlns:mc="http://schemas.openxmlformats.org/markup-compatibility/2006" xmlns:a14="http://schemas.microsoft.com/office/drawing/2010/main">
      <mc:Choice Requires="a14">
        <xdr:graphicFrame macro="">
          <xdr:nvGraphicFramePr>
            <xdr:cNvPr id="111" name="grade">
              <a:extLst>
                <a:ext uri="{FF2B5EF4-FFF2-40B4-BE49-F238E27FC236}">
                  <a16:creationId xmlns:a16="http://schemas.microsoft.com/office/drawing/2014/main" id="{DA819855-F857-41AB-9B68-7042354D6C89}"/>
                </a:ext>
              </a:extLst>
            </xdr:cNvPr>
            <xdr:cNvGraphicFramePr/>
          </xdr:nvGraphicFramePr>
          <xdr:xfrm>
            <a:off x="0" y="0"/>
            <a:ext cx="0" cy="0"/>
          </xdr:xfrm>
          <a:graphic>
            <a:graphicData uri="http://schemas.microsoft.com/office/drawing/2010/slicer">
              <sle:slicer xmlns:sle="http://schemas.microsoft.com/office/drawing/2010/slicer" name="grade"/>
            </a:graphicData>
          </a:graphic>
        </xdr:graphicFrame>
      </mc:Choice>
      <mc:Fallback xmlns="">
        <xdr:sp macro="" textlink="">
          <xdr:nvSpPr>
            <xdr:cNvPr id="0" name=""/>
            <xdr:cNvSpPr>
              <a:spLocks noTextEdit="1"/>
            </xdr:cNvSpPr>
          </xdr:nvSpPr>
          <xdr:spPr>
            <a:xfrm>
              <a:off x="10648950" y="190501"/>
              <a:ext cx="1104900" cy="1105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232410</xdr:colOff>
      <xdr:row>1</xdr:row>
      <xdr:rowOff>13337</xdr:rowOff>
    </xdr:from>
    <xdr:to>
      <xdr:col>20</xdr:col>
      <xdr:colOff>600075</xdr:colOff>
      <xdr:row>7</xdr:row>
      <xdr:rowOff>32687</xdr:rowOff>
    </xdr:to>
    <mc:AlternateContent xmlns:mc="http://schemas.openxmlformats.org/markup-compatibility/2006" xmlns:a14="http://schemas.microsoft.com/office/drawing/2010/main">
      <mc:Choice Requires="a14">
        <xdr:graphicFrame macro="">
          <xdr:nvGraphicFramePr>
            <xdr:cNvPr id="112" name="term_months">
              <a:extLst>
                <a:ext uri="{FF2B5EF4-FFF2-40B4-BE49-F238E27FC236}">
                  <a16:creationId xmlns:a16="http://schemas.microsoft.com/office/drawing/2014/main" id="{A0AA05DC-D413-4953-B8E6-65B0A71B6ADC}"/>
                </a:ext>
              </a:extLst>
            </xdr:cNvPr>
            <xdr:cNvGraphicFramePr/>
          </xdr:nvGraphicFramePr>
          <xdr:xfrm>
            <a:off x="0" y="0"/>
            <a:ext cx="0" cy="0"/>
          </xdr:xfrm>
          <a:graphic>
            <a:graphicData uri="http://schemas.microsoft.com/office/drawing/2010/slicer">
              <sle:slicer xmlns:sle="http://schemas.microsoft.com/office/drawing/2010/slicer" name="term_months"/>
            </a:graphicData>
          </a:graphic>
        </xdr:graphicFrame>
      </mc:Choice>
      <mc:Fallback xmlns="">
        <xdr:sp macro="" textlink="">
          <xdr:nvSpPr>
            <xdr:cNvPr id="0" name=""/>
            <xdr:cNvSpPr>
              <a:spLocks noTextEdit="1"/>
            </xdr:cNvSpPr>
          </xdr:nvSpPr>
          <xdr:spPr>
            <a:xfrm>
              <a:off x="11814810" y="194312"/>
              <a:ext cx="977265" cy="1105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133350</xdr:colOff>
      <xdr:row>28</xdr:row>
      <xdr:rowOff>95249</xdr:rowOff>
    </xdr:from>
    <xdr:to>
      <xdr:col>13</xdr:col>
      <xdr:colOff>485775</xdr:colOff>
      <xdr:row>40</xdr:row>
      <xdr:rowOff>125998</xdr:rowOff>
    </xdr:to>
    <xdr:graphicFrame macro="">
      <xdr:nvGraphicFramePr>
        <xdr:cNvPr id="113" name="Chart 112">
          <a:extLst>
            <a:ext uri="{FF2B5EF4-FFF2-40B4-BE49-F238E27FC236}">
              <a16:creationId xmlns:a16="http://schemas.microsoft.com/office/drawing/2014/main" id="{FFBB1CD4-273C-4EBA-B595-7A3410B73A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15</xdr:col>
      <xdr:colOff>379694</xdr:colOff>
      <xdr:row>29</xdr:row>
      <xdr:rowOff>165935</xdr:rowOff>
    </xdr:from>
    <xdr:to>
      <xdr:col>19</xdr:col>
      <xdr:colOff>548101</xdr:colOff>
      <xdr:row>37</xdr:row>
      <xdr:rowOff>116806</xdr:rowOff>
    </xdr:to>
    <xdr:graphicFrame macro="">
      <xdr:nvGraphicFramePr>
        <xdr:cNvPr id="115" name="Chart 114">
          <a:extLst>
            <a:ext uri="{FF2B5EF4-FFF2-40B4-BE49-F238E27FC236}">
              <a16:creationId xmlns:a16="http://schemas.microsoft.com/office/drawing/2014/main" id="{623846A9-6311-4F19-ADD9-C3C5A0A953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13</xdr:col>
      <xdr:colOff>304800</xdr:colOff>
      <xdr:row>27</xdr:row>
      <xdr:rowOff>85725</xdr:rowOff>
    </xdr:from>
    <xdr:to>
      <xdr:col>22</xdr:col>
      <xdr:colOff>180975</xdr:colOff>
      <xdr:row>41</xdr:row>
      <xdr:rowOff>123825</xdr:rowOff>
    </xdr:to>
    <xdr:graphicFrame macro="">
      <xdr:nvGraphicFramePr>
        <xdr:cNvPr id="117" name="Chart 116">
          <a:extLst>
            <a:ext uri="{FF2B5EF4-FFF2-40B4-BE49-F238E27FC236}">
              <a16:creationId xmlns:a16="http://schemas.microsoft.com/office/drawing/2014/main" id="{AF77EDE3-6D2B-4522-A1AF-456CB98DE3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14</xdr:col>
      <xdr:colOff>161925</xdr:colOff>
      <xdr:row>28</xdr:row>
      <xdr:rowOff>103272</xdr:rowOff>
    </xdr:from>
    <xdr:to>
      <xdr:col>21</xdr:col>
      <xdr:colOff>133351</xdr:colOff>
      <xdr:row>40</xdr:row>
      <xdr:rowOff>115303</xdr:rowOff>
    </xdr:to>
    <xdr:sp macro="" textlink="">
      <xdr:nvSpPr>
        <xdr:cNvPr id="118" name="Rectangle 117">
          <a:extLst>
            <a:ext uri="{FF2B5EF4-FFF2-40B4-BE49-F238E27FC236}">
              <a16:creationId xmlns:a16="http://schemas.microsoft.com/office/drawing/2014/main" id="{CB3DD9FB-9F4C-391D-7C36-EF7418580910}"/>
            </a:ext>
          </a:extLst>
        </xdr:cNvPr>
        <xdr:cNvSpPr/>
      </xdr:nvSpPr>
      <xdr:spPr>
        <a:xfrm>
          <a:off x="8696325" y="5170572"/>
          <a:ext cx="4238626" cy="2183731"/>
        </a:xfrm>
        <a:prstGeom prst="rect">
          <a:avLst/>
        </a:prstGeom>
        <a:noFill/>
        <a:ln>
          <a:solidFill>
            <a:schemeClr val="bg1">
              <a:lumMod val="75000"/>
              <a:alpha val="30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21</xdr:col>
      <xdr:colOff>361951</xdr:colOff>
      <xdr:row>28</xdr:row>
      <xdr:rowOff>85725</xdr:rowOff>
    </xdr:from>
    <xdr:to>
      <xdr:col>28</xdr:col>
      <xdr:colOff>342901</xdr:colOff>
      <xdr:row>40</xdr:row>
      <xdr:rowOff>123825</xdr:rowOff>
    </xdr:to>
    <xdr:graphicFrame macro="">
      <xdr:nvGraphicFramePr>
        <xdr:cNvPr id="5" name="Chart 4">
          <a:extLst>
            <a:ext uri="{FF2B5EF4-FFF2-40B4-BE49-F238E27FC236}">
              <a16:creationId xmlns:a16="http://schemas.microsoft.com/office/drawing/2014/main" id="{196623F6-49B7-4BD8-839B-525A789EAF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26</xdr:col>
      <xdr:colOff>400050</xdr:colOff>
      <xdr:row>28</xdr:row>
      <xdr:rowOff>114299</xdr:rowOff>
    </xdr:from>
    <xdr:to>
      <xdr:col>28</xdr:col>
      <xdr:colOff>352425</xdr:colOff>
      <xdr:row>31</xdr:row>
      <xdr:rowOff>171449</xdr:rowOff>
    </xdr:to>
    <mc:AlternateContent xmlns:mc="http://schemas.openxmlformats.org/markup-compatibility/2006" xmlns:a14="http://schemas.microsoft.com/office/drawing/2010/main">
      <mc:Choice Requires="a14">
        <xdr:graphicFrame macro="">
          <xdr:nvGraphicFramePr>
            <xdr:cNvPr id="6" name="loan_status">
              <a:extLst>
                <a:ext uri="{FF2B5EF4-FFF2-40B4-BE49-F238E27FC236}">
                  <a16:creationId xmlns:a16="http://schemas.microsoft.com/office/drawing/2014/main" id="{79BC7B96-CB8D-4755-901B-2E4A30885C2C}"/>
                </a:ext>
              </a:extLst>
            </xdr:cNvPr>
            <xdr:cNvGraphicFramePr/>
          </xdr:nvGraphicFramePr>
          <xdr:xfrm>
            <a:off x="0" y="0"/>
            <a:ext cx="0" cy="0"/>
          </xdr:xfrm>
          <a:graphic>
            <a:graphicData uri="http://schemas.microsoft.com/office/drawing/2010/slicer">
              <sle:slicer xmlns:sle="http://schemas.microsoft.com/office/drawing/2010/slicer" name="loan_status"/>
            </a:graphicData>
          </a:graphic>
        </xdr:graphicFrame>
      </mc:Choice>
      <mc:Fallback xmlns="">
        <xdr:sp macro="" textlink="">
          <xdr:nvSpPr>
            <xdr:cNvPr id="0" name=""/>
            <xdr:cNvSpPr>
              <a:spLocks noTextEdit="1"/>
            </xdr:cNvSpPr>
          </xdr:nvSpPr>
          <xdr:spPr>
            <a:xfrm>
              <a:off x="16249650" y="5181599"/>
              <a:ext cx="1199089" cy="600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22</xdr:col>
      <xdr:colOff>425631</xdr:colOff>
      <xdr:row>27</xdr:row>
      <xdr:rowOff>11228</xdr:rowOff>
    </xdr:from>
    <xdr:ext cx="2748894" cy="280205"/>
    <xdr:sp macro="" textlink="">
      <xdr:nvSpPr>
        <xdr:cNvPr id="7" name="TextBox 6">
          <a:extLst>
            <a:ext uri="{FF2B5EF4-FFF2-40B4-BE49-F238E27FC236}">
              <a16:creationId xmlns:a16="http://schemas.microsoft.com/office/drawing/2014/main" id="{D5DFCAF7-E5C6-4603-31B7-C7C96D2D0D5F}"/>
            </a:ext>
          </a:extLst>
        </xdr:cNvPr>
        <xdr:cNvSpPr txBox="1"/>
      </xdr:nvSpPr>
      <xdr:spPr>
        <a:xfrm>
          <a:off x="13836831" y="4897553"/>
          <a:ext cx="2748894"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lang="en-IN" sz="1200">
              <a:solidFill>
                <a:schemeClr val="accent2">
                  <a:lumMod val="50000"/>
                </a:schemeClr>
              </a:solidFill>
            </a:rPr>
            <a:t>TOP 5</a:t>
          </a:r>
          <a:r>
            <a:rPr lang="en-IN" sz="1200" baseline="0">
              <a:solidFill>
                <a:schemeClr val="accent2">
                  <a:lumMod val="50000"/>
                </a:schemeClr>
              </a:solidFill>
            </a:rPr>
            <a:t> STATES BY NO. OF FUNDED LOANS</a:t>
          </a:r>
          <a:endParaRPr lang="en-IN" sz="1200">
            <a:solidFill>
              <a:schemeClr val="accent2">
                <a:lumMod val="50000"/>
              </a:schemeClr>
            </a:solidFill>
          </a:endParaRPr>
        </a:p>
      </xdr:txBody>
    </xdr:sp>
    <xdr:clientData/>
  </xdr:oneCellAnchor>
  <xdr:oneCellAnchor>
    <xdr:from>
      <xdr:col>14</xdr:col>
      <xdr:colOff>171450</xdr:colOff>
      <xdr:row>27</xdr:row>
      <xdr:rowOff>15356</xdr:rowOff>
    </xdr:from>
    <xdr:ext cx="4181475" cy="270394"/>
    <xdr:sp macro="" textlink="">
      <xdr:nvSpPr>
        <xdr:cNvPr id="8" name="TextBox 7">
          <a:extLst>
            <a:ext uri="{FF2B5EF4-FFF2-40B4-BE49-F238E27FC236}">
              <a16:creationId xmlns:a16="http://schemas.microsoft.com/office/drawing/2014/main" id="{CBE414D6-D887-4D93-93A5-5282FD0C8FCF}"/>
            </a:ext>
          </a:extLst>
        </xdr:cNvPr>
        <xdr:cNvSpPr txBox="1"/>
      </xdr:nvSpPr>
      <xdr:spPr>
        <a:xfrm>
          <a:off x="8705850" y="4901681"/>
          <a:ext cx="4181475" cy="2703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100" baseline="0">
              <a:solidFill>
                <a:schemeClr val="accent2">
                  <a:lumMod val="50000"/>
                </a:schemeClr>
              </a:solidFill>
            </a:rPr>
            <a:t>FUNDED LOANS &amp; AMOUNT BASED ON OWNERSHIP</a:t>
          </a:r>
          <a:endParaRPr lang="en-IN" sz="1100">
            <a:solidFill>
              <a:schemeClr val="accent2">
                <a:lumMod val="50000"/>
              </a:schemeClr>
            </a:solidFill>
          </a:endParaRPr>
        </a:p>
      </xdr:txBody>
    </xdr:sp>
    <xdr:clientData/>
  </xdr:oneCellAnchor>
  <xdr:oneCellAnchor>
    <xdr:from>
      <xdr:col>3</xdr:col>
      <xdr:colOff>142875</xdr:colOff>
      <xdr:row>26</xdr:row>
      <xdr:rowOff>167506</xdr:rowOff>
    </xdr:from>
    <xdr:ext cx="6410325" cy="289694"/>
    <xdr:sp macro="" textlink="">
      <xdr:nvSpPr>
        <xdr:cNvPr id="9" name="TextBox 8">
          <a:extLst>
            <a:ext uri="{FF2B5EF4-FFF2-40B4-BE49-F238E27FC236}">
              <a16:creationId xmlns:a16="http://schemas.microsoft.com/office/drawing/2014/main" id="{FAC05A0C-13E3-4297-B132-D4EC4C0AC5C4}"/>
            </a:ext>
          </a:extLst>
        </xdr:cNvPr>
        <xdr:cNvSpPr txBox="1"/>
      </xdr:nvSpPr>
      <xdr:spPr>
        <a:xfrm>
          <a:off x="1971675" y="4872856"/>
          <a:ext cx="6410325" cy="2896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200" baseline="0">
              <a:solidFill>
                <a:schemeClr val="accent2">
                  <a:lumMod val="50000"/>
                </a:schemeClr>
              </a:solidFill>
            </a:rPr>
            <a:t>LOAN PERFORMANCE TREND OVER TIME</a:t>
          </a:r>
          <a:endParaRPr lang="en-IN" sz="1200">
            <a:solidFill>
              <a:schemeClr val="accent2">
                <a:lumMod val="50000"/>
              </a:schemeClr>
            </a:solidFill>
          </a:endParaRPr>
        </a:p>
      </xdr:txBody>
    </xdr:sp>
    <xdr:clientData/>
  </xdr:oneCellAnchor>
  <mc:AlternateContent xmlns:mc="http://schemas.openxmlformats.org/markup-compatibility/2006">
    <mc:Choice xmlns:a14="http://schemas.microsoft.com/office/drawing/2010/main" Requires="a14">
      <xdr:twoCellAnchor editAs="oneCell">
        <xdr:from>
          <xdr:col>14</xdr:col>
          <xdr:colOff>171966</xdr:colOff>
          <xdr:row>10</xdr:row>
          <xdr:rowOff>85725</xdr:rowOff>
        </xdr:from>
        <xdr:to>
          <xdr:col>21</xdr:col>
          <xdr:colOff>104775</xdr:colOff>
          <xdr:row>26</xdr:row>
          <xdr:rowOff>19050</xdr:rowOff>
        </xdr:to>
        <xdr:pic>
          <xdr:nvPicPr>
            <xdr:cNvPr id="14" name="Picture 13">
              <a:extLst>
                <a:ext uri="{FF2B5EF4-FFF2-40B4-BE49-F238E27FC236}">
                  <a16:creationId xmlns:a16="http://schemas.microsoft.com/office/drawing/2014/main" id="{B7C0BC0C-42E6-23F8-2F62-3154AF600028}"/>
                </a:ext>
              </a:extLst>
            </xdr:cNvPr>
            <xdr:cNvPicPr>
              <a:picLocks noChangeAspect="1" noChangeArrowheads="1"/>
              <a:extLst>
                <a:ext uri="{84589F7E-364E-4C9E-8A38-B11213B215E9}">
                  <a14:cameraTool cellRange="'Sheet Design'!$K$9:$M$17" spid="_x0000_s1088"/>
                </a:ext>
              </a:extLst>
            </xdr:cNvPicPr>
          </xdr:nvPicPr>
          <xdr:blipFill>
            <a:blip xmlns:r="http://schemas.openxmlformats.org/officeDocument/2006/relationships" r:embed="rId14"/>
            <a:srcRect/>
            <a:stretch>
              <a:fillRect/>
            </a:stretch>
          </xdr:blipFill>
          <xdr:spPr bwMode="auto">
            <a:xfrm>
              <a:off x="8706366" y="1895475"/>
              <a:ext cx="4200009" cy="2828925"/>
            </a:xfrm>
            <a:prstGeom prst="rect">
              <a:avLst/>
            </a:prstGeom>
            <a:noFill/>
            <a:ln>
              <a:noFill/>
            </a:ln>
            <a:effectLst/>
            <a:extLst>
              <a:ext uri="{909E8E84-426E-40DD-AFC4-6F175D3DCCD1}">
                <a14:hiddenFill>
                  <a:solidFill>
                    <a:srgbClr val="FFFFFF"/>
                  </a:solidFill>
                </a14:hiddenFill>
              </a:ext>
            </a:extLst>
          </xdr:spPr>
        </xdr:pic>
        <xdr:clientData/>
      </xdr:twoCellAnchor>
    </mc:Choice>
    <mc:Fallback/>
  </mc:AlternateContent>
  <xdr:oneCellAnchor>
    <xdr:from>
      <xdr:col>14</xdr:col>
      <xdr:colOff>180975</xdr:colOff>
      <xdr:row>8</xdr:row>
      <xdr:rowOff>161925</xdr:rowOff>
    </xdr:from>
    <xdr:ext cx="4191000" cy="329535"/>
    <xdr:sp macro="" textlink="">
      <xdr:nvSpPr>
        <xdr:cNvPr id="15" name="TextBox 14">
          <a:extLst>
            <a:ext uri="{FF2B5EF4-FFF2-40B4-BE49-F238E27FC236}">
              <a16:creationId xmlns:a16="http://schemas.microsoft.com/office/drawing/2014/main" id="{E625BE80-F934-429D-A53D-C43A798D1A76}"/>
            </a:ext>
          </a:extLst>
        </xdr:cNvPr>
        <xdr:cNvSpPr txBox="1"/>
      </xdr:nvSpPr>
      <xdr:spPr>
        <a:xfrm>
          <a:off x="8715375" y="1609725"/>
          <a:ext cx="4191000" cy="329535"/>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400" baseline="0">
              <a:solidFill>
                <a:schemeClr val="accent2">
                  <a:lumMod val="50000"/>
                </a:schemeClr>
              </a:solidFill>
            </a:rPr>
            <a:t>LOAN QUALITY - PERFORMANCE</a:t>
          </a:r>
          <a:endParaRPr lang="en-IN" sz="1400">
            <a:solidFill>
              <a:schemeClr val="accent2">
                <a:lumMod val="50000"/>
              </a:schemeClr>
            </a:solidFill>
          </a:endParaRPr>
        </a:p>
      </xdr:txBody>
    </xdr:sp>
    <xdr:clientData/>
  </xdr:oneCellAnchor>
  <xdr:twoCellAnchor>
    <xdr:from>
      <xdr:col>14</xdr:col>
      <xdr:colOff>171450</xdr:colOff>
      <xdr:row>8</xdr:row>
      <xdr:rowOff>142875</xdr:rowOff>
    </xdr:from>
    <xdr:to>
      <xdr:col>21</xdr:col>
      <xdr:colOff>104775</xdr:colOff>
      <xdr:row>26</xdr:row>
      <xdr:rowOff>95250</xdr:rowOff>
    </xdr:to>
    <xdr:sp macro="" textlink="">
      <xdr:nvSpPr>
        <xdr:cNvPr id="3" name="Rectangle 2">
          <a:extLst>
            <a:ext uri="{FF2B5EF4-FFF2-40B4-BE49-F238E27FC236}">
              <a16:creationId xmlns:a16="http://schemas.microsoft.com/office/drawing/2014/main" id="{E33A0989-EF99-A544-EEE3-54C2B9BE43C9}"/>
            </a:ext>
          </a:extLst>
        </xdr:cNvPr>
        <xdr:cNvSpPr/>
      </xdr:nvSpPr>
      <xdr:spPr>
        <a:xfrm>
          <a:off x="8705850" y="1590675"/>
          <a:ext cx="4200525" cy="3209925"/>
        </a:xfrm>
        <a:prstGeom prst="rect">
          <a:avLst/>
        </a:prstGeom>
        <a:noFill/>
        <a:ln>
          <a:solidFill>
            <a:schemeClr val="bg1">
              <a:lumMod val="8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0</xdr:col>
      <xdr:colOff>0</xdr:colOff>
      <xdr:row>41</xdr:row>
      <xdr:rowOff>161925</xdr:rowOff>
    </xdr:from>
    <xdr:ext cx="17592675" cy="264560"/>
    <xdr:sp macro="" textlink="">
      <xdr:nvSpPr>
        <xdr:cNvPr id="4" name="TextBox 3">
          <a:extLst>
            <a:ext uri="{FF2B5EF4-FFF2-40B4-BE49-F238E27FC236}">
              <a16:creationId xmlns:a16="http://schemas.microsoft.com/office/drawing/2014/main" id="{01A52102-C0CD-4E22-BE7E-D2DD87C56B02}"/>
            </a:ext>
          </a:extLst>
        </xdr:cNvPr>
        <xdr:cNvSpPr txBox="1"/>
      </xdr:nvSpPr>
      <xdr:spPr>
        <a:xfrm>
          <a:off x="0" y="7581900"/>
          <a:ext cx="1759267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100"/>
            <a:t>DTI - Debt to Income Ratio, Avg</a:t>
          </a:r>
          <a:r>
            <a:rPr lang="en-IN" sz="1100" baseline="0"/>
            <a:t> = Average, Amt = Amount, Inc = Income, Int Rate = Interest Rate, Exp  = Experience</a:t>
          </a:r>
          <a:r>
            <a:rPr lang="en-IN" sz="1100" baseline="0">
              <a:solidFill>
                <a:schemeClr val="tx1"/>
              </a:solidFill>
              <a:effectLst/>
              <a:latin typeface="+mn-lt"/>
              <a:ea typeface="+mn-ea"/>
              <a:cs typeface="+mn-cs"/>
            </a:rPr>
            <a:t>, Unemp = Unemployment</a:t>
          </a:r>
          <a:endParaRPr lang="en-IN" sz="1100"/>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2</xdr:col>
      <xdr:colOff>352425</xdr:colOff>
      <xdr:row>0</xdr:row>
      <xdr:rowOff>9525</xdr:rowOff>
    </xdr:from>
    <xdr:to>
      <xdr:col>29</xdr:col>
      <xdr:colOff>95249</xdr:colOff>
      <xdr:row>7</xdr:row>
      <xdr:rowOff>104773</xdr:rowOff>
    </xdr:to>
    <xdr:sp macro="" textlink="">
      <xdr:nvSpPr>
        <xdr:cNvPr id="23" name="Rectangle: Top Corners Rounded 22">
          <a:extLst>
            <a:ext uri="{FF2B5EF4-FFF2-40B4-BE49-F238E27FC236}">
              <a16:creationId xmlns:a16="http://schemas.microsoft.com/office/drawing/2014/main" id="{6B0F7A48-5592-4441-9DC8-9EC98F952DF7}"/>
            </a:ext>
          </a:extLst>
        </xdr:cNvPr>
        <xdr:cNvSpPr/>
      </xdr:nvSpPr>
      <xdr:spPr>
        <a:xfrm rot="10800000">
          <a:off x="1571625" y="9525"/>
          <a:ext cx="16202024" cy="1362073"/>
        </a:xfrm>
        <a:prstGeom prst="round2SameRect">
          <a:avLst/>
        </a:prstGeom>
        <a:solidFill>
          <a:srgbClr val="F4F4F4">
            <a:alpha val="30000"/>
          </a:srgb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42859</xdr:colOff>
      <xdr:row>7</xdr:row>
      <xdr:rowOff>175534</xdr:rowOff>
    </xdr:from>
    <xdr:to>
      <xdr:col>2</xdr:col>
      <xdr:colOff>261934</xdr:colOff>
      <xdr:row>41</xdr:row>
      <xdr:rowOff>39465</xdr:rowOff>
    </xdr:to>
    <xdr:sp macro="" textlink="">
      <xdr:nvSpPr>
        <xdr:cNvPr id="24" name="Rectangle: Top Corners Rounded 23">
          <a:extLst>
            <a:ext uri="{FF2B5EF4-FFF2-40B4-BE49-F238E27FC236}">
              <a16:creationId xmlns:a16="http://schemas.microsoft.com/office/drawing/2014/main" id="{0644DB33-14B6-4971-AA18-249A0349FE8B}"/>
            </a:ext>
          </a:extLst>
        </xdr:cNvPr>
        <xdr:cNvSpPr/>
      </xdr:nvSpPr>
      <xdr:spPr>
        <a:xfrm rot="5400000">
          <a:off x="-2246544" y="3731762"/>
          <a:ext cx="6017081" cy="1438275"/>
        </a:xfrm>
        <a:prstGeom prst="round2SameRect">
          <a:avLst/>
        </a:prstGeom>
        <a:solidFill>
          <a:srgbClr val="F4F4F4">
            <a:alpha val="30000"/>
          </a:srgb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0</xdr:colOff>
      <xdr:row>0</xdr:row>
      <xdr:rowOff>19050</xdr:rowOff>
    </xdr:from>
    <xdr:to>
      <xdr:col>2</xdr:col>
      <xdr:colOff>228600</xdr:colOff>
      <xdr:row>7</xdr:row>
      <xdr:rowOff>123825</xdr:rowOff>
    </xdr:to>
    <xdr:sp macro="" textlink="">
      <xdr:nvSpPr>
        <xdr:cNvPr id="25" name="Rectangle 24">
          <a:extLst>
            <a:ext uri="{FF2B5EF4-FFF2-40B4-BE49-F238E27FC236}">
              <a16:creationId xmlns:a16="http://schemas.microsoft.com/office/drawing/2014/main" id="{2A7E3619-67F2-458D-A158-4201B033BAB3}"/>
            </a:ext>
          </a:extLst>
        </xdr:cNvPr>
        <xdr:cNvSpPr/>
      </xdr:nvSpPr>
      <xdr:spPr>
        <a:xfrm>
          <a:off x="0" y="19050"/>
          <a:ext cx="1447800" cy="1371600"/>
        </a:xfrm>
        <a:prstGeom prst="rect">
          <a:avLst/>
        </a:prstGeom>
        <a:solidFill>
          <a:srgbClr val="F4F4F4">
            <a:alpha val="30000"/>
          </a:srgb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76200</xdr:colOff>
      <xdr:row>41</xdr:row>
      <xdr:rowOff>129268</xdr:rowOff>
    </xdr:from>
    <xdr:to>
      <xdr:col>29</xdr:col>
      <xdr:colOff>19050</xdr:colOff>
      <xdr:row>44</xdr:row>
      <xdr:rowOff>61232</xdr:rowOff>
    </xdr:to>
    <xdr:sp macro="" textlink="">
      <xdr:nvSpPr>
        <xdr:cNvPr id="26" name="Rectangle 25">
          <a:extLst>
            <a:ext uri="{FF2B5EF4-FFF2-40B4-BE49-F238E27FC236}">
              <a16:creationId xmlns:a16="http://schemas.microsoft.com/office/drawing/2014/main" id="{C4E271A7-654D-44BA-9A57-E42E500C12E9}"/>
            </a:ext>
          </a:extLst>
        </xdr:cNvPr>
        <xdr:cNvSpPr/>
      </xdr:nvSpPr>
      <xdr:spPr>
        <a:xfrm flipV="1">
          <a:off x="76200" y="7549243"/>
          <a:ext cx="17621250" cy="474889"/>
        </a:xfrm>
        <a:prstGeom prst="rect">
          <a:avLst/>
        </a:prstGeom>
        <a:solidFill>
          <a:schemeClr val="accent1">
            <a:alpha val="3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85724</xdr:colOff>
      <xdr:row>0</xdr:row>
      <xdr:rowOff>19050</xdr:rowOff>
    </xdr:from>
    <xdr:to>
      <xdr:col>2</xdr:col>
      <xdr:colOff>114299</xdr:colOff>
      <xdr:row>7</xdr:row>
      <xdr:rowOff>148705</xdr:rowOff>
    </xdr:to>
    <xdr:pic>
      <xdr:nvPicPr>
        <xdr:cNvPr id="27" name="Picture 26">
          <a:extLst>
            <a:ext uri="{FF2B5EF4-FFF2-40B4-BE49-F238E27FC236}">
              <a16:creationId xmlns:a16="http://schemas.microsoft.com/office/drawing/2014/main" id="{AA9C9711-1DBD-49AF-BA7A-D74AABE22024}"/>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76547" t="32905" r="7643" b="33639"/>
        <a:stretch/>
      </xdr:blipFill>
      <xdr:spPr>
        <a:xfrm>
          <a:off x="85724" y="19050"/>
          <a:ext cx="1247775" cy="1396480"/>
        </a:xfrm>
        <a:prstGeom prst="rect">
          <a:avLst/>
        </a:prstGeom>
        <a:effectLst>
          <a:outerShdw blurRad="50800" dist="38100" dir="5400000" algn="t" rotWithShape="0">
            <a:prstClr val="black">
              <a:alpha val="40000"/>
            </a:prstClr>
          </a:outerShdw>
        </a:effectLst>
      </xdr:spPr>
    </xdr:pic>
    <xdr:clientData/>
  </xdr:twoCellAnchor>
  <xdr:twoCellAnchor editAs="oneCell">
    <xdr:from>
      <xdr:col>0</xdr:col>
      <xdr:colOff>76200</xdr:colOff>
      <xdr:row>9</xdr:row>
      <xdr:rowOff>55791</xdr:rowOff>
    </xdr:from>
    <xdr:to>
      <xdr:col>2</xdr:col>
      <xdr:colOff>200025</xdr:colOff>
      <xdr:row>15</xdr:row>
      <xdr:rowOff>13608</xdr:rowOff>
    </xdr:to>
    <xdr:pic>
      <xdr:nvPicPr>
        <xdr:cNvPr id="28" name="Picture 27">
          <a:hlinkClick xmlns:r="http://schemas.openxmlformats.org/officeDocument/2006/relationships" r:id="rId2"/>
          <a:extLst>
            <a:ext uri="{FF2B5EF4-FFF2-40B4-BE49-F238E27FC236}">
              <a16:creationId xmlns:a16="http://schemas.microsoft.com/office/drawing/2014/main" id="{4FEDBE6B-B88A-4607-B4E5-D0B7FA0EEA05}"/>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8786" t="20955" r="60000" b="52206"/>
        <a:stretch/>
      </xdr:blipFill>
      <xdr:spPr>
        <a:xfrm>
          <a:off x="76200" y="1684566"/>
          <a:ext cx="1343025" cy="1043667"/>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95250</xdr:colOff>
      <xdr:row>17</xdr:row>
      <xdr:rowOff>117022</xdr:rowOff>
    </xdr:from>
    <xdr:to>
      <xdr:col>2</xdr:col>
      <xdr:colOff>190500</xdr:colOff>
      <xdr:row>23</xdr:row>
      <xdr:rowOff>87887</xdr:rowOff>
    </xdr:to>
    <xdr:pic>
      <xdr:nvPicPr>
        <xdr:cNvPr id="29" name="Picture 28">
          <a:hlinkClick xmlns:r="http://schemas.openxmlformats.org/officeDocument/2006/relationships" r:id="rId4"/>
          <a:extLst>
            <a:ext uri="{FF2B5EF4-FFF2-40B4-BE49-F238E27FC236}">
              <a16:creationId xmlns:a16="http://schemas.microsoft.com/office/drawing/2014/main" id="{4154859B-650A-4D03-B11F-90FF7FCBA33A}"/>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3016" t="21324" r="27818" b="52206"/>
        <a:stretch/>
      </xdr:blipFill>
      <xdr:spPr>
        <a:xfrm>
          <a:off x="95250" y="3193597"/>
          <a:ext cx="1314450" cy="1056715"/>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76199</xdr:colOff>
      <xdr:row>25</xdr:row>
      <xdr:rowOff>92531</xdr:rowOff>
    </xdr:from>
    <xdr:to>
      <xdr:col>2</xdr:col>
      <xdr:colOff>228600</xdr:colOff>
      <xdr:row>31</xdr:row>
      <xdr:rowOff>136073</xdr:rowOff>
    </xdr:to>
    <xdr:pic>
      <xdr:nvPicPr>
        <xdr:cNvPr id="30" name="Picture 29">
          <a:hlinkClick xmlns:r="http://schemas.openxmlformats.org/officeDocument/2006/relationships" r:id="rId6"/>
          <a:extLst>
            <a:ext uri="{FF2B5EF4-FFF2-40B4-BE49-F238E27FC236}">
              <a16:creationId xmlns:a16="http://schemas.microsoft.com/office/drawing/2014/main" id="{9B59496E-FBB5-472B-8373-E9284E260BFC}"/>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088" t="50919" r="59296" b="21875"/>
        <a:stretch/>
      </xdr:blipFill>
      <xdr:spPr>
        <a:xfrm>
          <a:off x="76199" y="4616906"/>
          <a:ext cx="1371601" cy="1129392"/>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104776</xdr:colOff>
      <xdr:row>33</xdr:row>
      <xdr:rowOff>172812</xdr:rowOff>
    </xdr:from>
    <xdr:to>
      <xdr:col>2</xdr:col>
      <xdr:colOff>180975</xdr:colOff>
      <xdr:row>40</xdr:row>
      <xdr:rowOff>35380</xdr:rowOff>
    </xdr:to>
    <xdr:pic>
      <xdr:nvPicPr>
        <xdr:cNvPr id="31" name="Picture 30">
          <a:hlinkClick xmlns:r="http://schemas.openxmlformats.org/officeDocument/2006/relationships" r:id="rId8"/>
          <a:extLst>
            <a:ext uri="{FF2B5EF4-FFF2-40B4-BE49-F238E27FC236}">
              <a16:creationId xmlns:a16="http://schemas.microsoft.com/office/drawing/2014/main" id="{2353F6E4-EE7B-43E9-8E72-44490AD605E6}"/>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2524" t="51286" r="27819" b="22427"/>
        <a:stretch/>
      </xdr:blipFill>
      <xdr:spPr>
        <a:xfrm>
          <a:off x="104776" y="6144987"/>
          <a:ext cx="1295399" cy="1129393"/>
        </a:xfrm>
        <a:prstGeom prst="rect">
          <a:avLst/>
        </a:prstGeom>
        <a:effectLst>
          <a:outerShdw blurRad="50800" dist="38100" dir="2700000" algn="tl" rotWithShape="0">
            <a:prstClr val="black">
              <a:alpha val="40000"/>
            </a:prstClr>
          </a:outerShdw>
        </a:effectLst>
      </xdr:spPr>
    </xdr:pic>
    <xdr:clientData/>
  </xdr:twoCellAnchor>
  <xdr:oneCellAnchor>
    <xdr:from>
      <xdr:col>2</xdr:col>
      <xdr:colOff>542924</xdr:colOff>
      <xdr:row>1</xdr:row>
      <xdr:rowOff>61233</xdr:rowOff>
    </xdr:from>
    <xdr:ext cx="11249026" cy="501740"/>
    <xdr:sp macro="" textlink="">
      <xdr:nvSpPr>
        <xdr:cNvPr id="32" name="TextBox 31">
          <a:extLst>
            <a:ext uri="{FF2B5EF4-FFF2-40B4-BE49-F238E27FC236}">
              <a16:creationId xmlns:a16="http://schemas.microsoft.com/office/drawing/2014/main" id="{6803DB2C-F55C-4597-9201-E39D3348A15E}"/>
            </a:ext>
          </a:extLst>
        </xdr:cNvPr>
        <xdr:cNvSpPr txBox="1"/>
      </xdr:nvSpPr>
      <xdr:spPr>
        <a:xfrm>
          <a:off x="1762124" y="242208"/>
          <a:ext cx="11249026" cy="501740"/>
        </a:xfrm>
        <a:prstGeom prst="rect">
          <a:avLst/>
        </a:prstGeom>
        <a:noFill/>
        <a:effectLst>
          <a:outerShdw blurRad="50800" dist="38100" dir="8100000" algn="tr"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r>
            <a:rPr lang="en-IN" sz="2400" u="sng">
              <a:solidFill>
                <a:schemeClr val="tx1"/>
              </a:solidFill>
              <a:latin typeface="Segoe UI Semibold" panose="020B0702040204020203" pitchFamily="34" charset="0"/>
              <a:ea typeface="+mn-ea"/>
              <a:cs typeface="Segoe UI Semibold" panose="020B0702040204020203" pitchFamily="34" charset="0"/>
            </a:rPr>
            <a:t>Bank Loan Health Monitoring &amp; Predictive Insights</a:t>
          </a:r>
        </a:p>
      </xdr:txBody>
    </xdr:sp>
    <xdr:clientData/>
  </xdr:oneCellAnchor>
  <xdr:oneCellAnchor>
    <xdr:from>
      <xdr:col>3</xdr:col>
      <xdr:colOff>314325</xdr:colOff>
      <xdr:row>3</xdr:row>
      <xdr:rowOff>117022</xdr:rowOff>
    </xdr:from>
    <xdr:ext cx="6056145" cy="262892"/>
    <xdr:sp macro="" textlink="">
      <xdr:nvSpPr>
        <xdr:cNvPr id="33" name="TextBox 32">
          <a:extLst>
            <a:ext uri="{FF2B5EF4-FFF2-40B4-BE49-F238E27FC236}">
              <a16:creationId xmlns:a16="http://schemas.microsoft.com/office/drawing/2014/main" id="{FDD6FC67-AF8C-400F-BCE4-F909E7322EAB}"/>
            </a:ext>
          </a:extLst>
        </xdr:cNvPr>
        <xdr:cNvSpPr txBox="1"/>
      </xdr:nvSpPr>
      <xdr:spPr>
        <a:xfrm>
          <a:off x="2143125" y="659947"/>
          <a:ext cx="6056145" cy="262892"/>
        </a:xfrm>
        <a:prstGeom prst="rect">
          <a:avLst/>
        </a:prstGeom>
        <a:noFill/>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000">
              <a:latin typeface="Segoe UI Semibold" panose="020B0702040204020203" pitchFamily="34" charset="0"/>
              <a:cs typeface="Segoe UI Semibold" panose="020B0702040204020203" pitchFamily="34" charset="0"/>
            </a:rPr>
            <a:t>An end-to-end data-driven assessment of loan performance, borrower risk, and economic influences.</a:t>
          </a:r>
        </a:p>
      </xdr:txBody>
    </xdr:sp>
    <xdr:clientData/>
  </xdr:oneCellAnchor>
  <xdr:twoCellAnchor>
    <xdr:from>
      <xdr:col>23</xdr:col>
      <xdr:colOff>438150</xdr:colOff>
      <xdr:row>0</xdr:row>
      <xdr:rowOff>114300</xdr:rowOff>
    </xdr:from>
    <xdr:to>
      <xdr:col>28</xdr:col>
      <xdr:colOff>600068</xdr:colOff>
      <xdr:row>7</xdr:row>
      <xdr:rowOff>38097</xdr:rowOff>
    </xdr:to>
    <xdr:sp macro="" textlink="">
      <xdr:nvSpPr>
        <xdr:cNvPr id="34" name="Rectangle: Top Corners Rounded 33">
          <a:extLst>
            <a:ext uri="{FF2B5EF4-FFF2-40B4-BE49-F238E27FC236}">
              <a16:creationId xmlns:a16="http://schemas.microsoft.com/office/drawing/2014/main" id="{0E55A8EA-D247-4145-9B4F-9CEAF0E94FD1}"/>
            </a:ext>
          </a:extLst>
        </xdr:cNvPr>
        <xdr:cNvSpPr/>
      </xdr:nvSpPr>
      <xdr:spPr>
        <a:xfrm rot="10800000">
          <a:off x="14458950" y="114300"/>
          <a:ext cx="3209918" cy="1190622"/>
        </a:xfrm>
        <a:prstGeom prst="round2SameRect">
          <a:avLst/>
        </a:prstGeom>
        <a:solidFill>
          <a:schemeClr val="accent2"/>
        </a:solidFill>
        <a:ln>
          <a:noFill/>
        </a:ln>
        <a:effectLst>
          <a:outerShdw blurRad="50800" dist="50800" dir="60000" algn="ctr" rotWithShape="0">
            <a:srgbClr val="000000">
              <a:alpha val="43137"/>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rtlCol="0" anchor="t" anchorCtr="0"/>
        <a:lstStyle/>
        <a:p>
          <a:pPr algn="l"/>
          <a:endParaRPr lang="en-IN" sz="1400">
            <a:effectLst>
              <a:outerShdw blurRad="50800" dist="50800" dir="600000" algn="ctr" rotWithShape="0">
                <a:srgbClr val="000000">
                  <a:alpha val="43137"/>
                </a:srgbClr>
              </a:outerShdw>
            </a:effectLst>
            <a:latin typeface="Segoe UI Semibold" panose="020B0702040204020203" pitchFamily="34" charset="0"/>
            <a:cs typeface="Segoe UI Semibold" panose="020B0702040204020203" pitchFamily="34" charset="0"/>
          </a:endParaRPr>
        </a:p>
      </xdr:txBody>
    </xdr:sp>
    <xdr:clientData/>
  </xdr:twoCellAnchor>
  <xdr:oneCellAnchor>
    <xdr:from>
      <xdr:col>23</xdr:col>
      <xdr:colOff>485775</xdr:colOff>
      <xdr:row>0</xdr:row>
      <xdr:rowOff>140976</xdr:rowOff>
    </xdr:from>
    <xdr:ext cx="3114675" cy="582924"/>
    <xdr:sp macro="" textlink="">
      <xdr:nvSpPr>
        <xdr:cNvPr id="35" name="TextBox 34">
          <a:extLst>
            <a:ext uri="{FF2B5EF4-FFF2-40B4-BE49-F238E27FC236}">
              <a16:creationId xmlns:a16="http://schemas.microsoft.com/office/drawing/2014/main" id="{E938399B-8750-4E9D-B89F-95BDD1AD1E14}"/>
            </a:ext>
          </a:extLst>
        </xdr:cNvPr>
        <xdr:cNvSpPr txBox="1"/>
      </xdr:nvSpPr>
      <xdr:spPr>
        <a:xfrm>
          <a:off x="14506575" y="140976"/>
          <a:ext cx="3114675" cy="582924"/>
        </a:xfrm>
        <a:prstGeom prst="rect">
          <a:avLst/>
        </a:prstGeom>
        <a:solidFill>
          <a:schemeClr val="accent2"/>
        </a:solidFill>
        <a:effectLst/>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a:solidFill>
                <a:schemeClr val="bg1"/>
              </a:solidFill>
              <a:latin typeface="Segoe UI Semibold" panose="020B0702040204020203" pitchFamily="34" charset="0"/>
              <a:cs typeface="Segoe UI Semibold" panose="020B0702040204020203" pitchFamily="34" charset="0"/>
            </a:rPr>
            <a:t>Loan Portfolio &amp; Borrower Behavior Analysis</a:t>
          </a:r>
          <a:endParaRPr lang="en-IN" sz="1400">
            <a:solidFill>
              <a:schemeClr val="bg1"/>
            </a:solidFill>
            <a:effectLst>
              <a:outerShdw blurRad="50800" dist="38100" dir="8100000" algn="tr"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23</xdr:col>
      <xdr:colOff>504825</xdr:colOff>
      <xdr:row>3</xdr:row>
      <xdr:rowOff>122463</xdr:rowOff>
    </xdr:from>
    <xdr:ext cx="3133725" cy="695327"/>
    <xdr:sp macro="" textlink="">
      <xdr:nvSpPr>
        <xdr:cNvPr id="36" name="TextBox 35">
          <a:extLst>
            <a:ext uri="{FF2B5EF4-FFF2-40B4-BE49-F238E27FC236}">
              <a16:creationId xmlns:a16="http://schemas.microsoft.com/office/drawing/2014/main" id="{6A6E9BA5-9414-4BE2-A41A-703FC0476343}"/>
            </a:ext>
          </a:extLst>
        </xdr:cNvPr>
        <xdr:cNvSpPr txBox="1"/>
      </xdr:nvSpPr>
      <xdr:spPr>
        <a:xfrm>
          <a:off x="14525625" y="665388"/>
          <a:ext cx="3133725" cy="6953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a:t>Analyzing borrower profiles, DTI ratios, and repayment efficiency to uncover behavioral patterns.</a:t>
          </a:r>
          <a:endParaRPr lang="en-IN" sz="1100"/>
        </a:p>
      </xdr:txBody>
    </xdr:sp>
    <xdr:clientData/>
  </xdr:oneCellAnchor>
  <xdr:twoCellAnchor editAs="oneCell">
    <xdr:from>
      <xdr:col>0</xdr:col>
      <xdr:colOff>152401</xdr:colOff>
      <xdr:row>41</xdr:row>
      <xdr:rowOff>167370</xdr:rowOff>
    </xdr:from>
    <xdr:to>
      <xdr:col>0</xdr:col>
      <xdr:colOff>514350</xdr:colOff>
      <xdr:row>43</xdr:row>
      <xdr:rowOff>175533</xdr:rowOff>
    </xdr:to>
    <xdr:pic>
      <xdr:nvPicPr>
        <xdr:cNvPr id="38" name="Picture 37">
          <a:extLst>
            <a:ext uri="{FF2B5EF4-FFF2-40B4-BE49-F238E27FC236}">
              <a16:creationId xmlns:a16="http://schemas.microsoft.com/office/drawing/2014/main" id="{52F2A8FE-5E24-4D13-8091-63E25F52442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2401" y="7587345"/>
          <a:ext cx="361949" cy="370113"/>
        </a:xfrm>
        <a:prstGeom prst="rect">
          <a:avLst/>
        </a:prstGeom>
        <a:effectLst>
          <a:outerShdw blurRad="50800" dist="38100" dir="2700000" algn="tl" rotWithShape="0">
            <a:prstClr val="black">
              <a:alpha val="40000"/>
            </a:prstClr>
          </a:outerShdw>
        </a:effectLst>
      </xdr:spPr>
    </xdr:pic>
    <xdr:clientData/>
  </xdr:twoCellAnchor>
  <xdr:twoCellAnchor>
    <xdr:from>
      <xdr:col>0</xdr:col>
      <xdr:colOff>95250</xdr:colOff>
      <xdr:row>17</xdr:row>
      <xdr:rowOff>95251</xdr:rowOff>
    </xdr:from>
    <xdr:to>
      <xdr:col>2</xdr:col>
      <xdr:colOff>228600</xdr:colOff>
      <xdr:row>23</xdr:row>
      <xdr:rowOff>114301</xdr:rowOff>
    </xdr:to>
    <xdr:sp macro="" textlink="">
      <xdr:nvSpPr>
        <xdr:cNvPr id="39" name="Rectangle: Rounded Corners 38">
          <a:extLst>
            <a:ext uri="{FF2B5EF4-FFF2-40B4-BE49-F238E27FC236}">
              <a16:creationId xmlns:a16="http://schemas.microsoft.com/office/drawing/2014/main" id="{13F5AFED-DDA5-4644-89CC-0FAB294E4965}"/>
            </a:ext>
          </a:extLst>
        </xdr:cNvPr>
        <xdr:cNvSpPr/>
      </xdr:nvSpPr>
      <xdr:spPr>
        <a:xfrm>
          <a:off x="95250" y="3171826"/>
          <a:ext cx="1352550" cy="1104900"/>
        </a:xfrm>
        <a:prstGeom prst="roundRect">
          <a:avLst/>
        </a:prstGeom>
        <a:solidFill>
          <a:schemeClr val="accent1">
            <a:alpha val="2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295275</xdr:colOff>
      <xdr:row>9</xdr:row>
      <xdr:rowOff>95250</xdr:rowOff>
    </xdr:from>
    <xdr:to>
      <xdr:col>28</xdr:col>
      <xdr:colOff>457200</xdr:colOff>
      <xdr:row>24</xdr:row>
      <xdr:rowOff>66675</xdr:rowOff>
    </xdr:to>
    <xdr:graphicFrame macro="">
      <xdr:nvGraphicFramePr>
        <xdr:cNvPr id="2" name="Chart 1">
          <a:extLst>
            <a:ext uri="{FF2B5EF4-FFF2-40B4-BE49-F238E27FC236}">
              <a16:creationId xmlns:a16="http://schemas.microsoft.com/office/drawing/2014/main" id="{D3A06D3B-A76B-4068-B3FE-A72903679B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xdr:col>
      <xdr:colOff>66674</xdr:colOff>
      <xdr:row>25</xdr:row>
      <xdr:rowOff>161925</xdr:rowOff>
    </xdr:from>
    <xdr:to>
      <xdr:col>12</xdr:col>
      <xdr:colOff>285750</xdr:colOff>
      <xdr:row>41</xdr:row>
      <xdr:rowOff>9525</xdr:rowOff>
    </xdr:to>
    <xdr:graphicFrame macro="">
      <xdr:nvGraphicFramePr>
        <xdr:cNvPr id="3" name="Chart 2">
          <a:extLst>
            <a:ext uri="{FF2B5EF4-FFF2-40B4-BE49-F238E27FC236}">
              <a16:creationId xmlns:a16="http://schemas.microsoft.com/office/drawing/2014/main" id="{DDF7C8C5-0609-4A63-98C9-4AC8CE1F69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12</xdr:col>
      <xdr:colOff>561975</xdr:colOff>
      <xdr:row>25</xdr:row>
      <xdr:rowOff>142874</xdr:rowOff>
    </xdr:from>
    <xdr:to>
      <xdr:col>18</xdr:col>
      <xdr:colOff>579120</xdr:colOff>
      <xdr:row>41</xdr:row>
      <xdr:rowOff>19049</xdr:rowOff>
    </xdr:to>
    <xdr:graphicFrame macro="">
      <xdr:nvGraphicFramePr>
        <xdr:cNvPr id="4" name="Chart 3">
          <a:extLst>
            <a:ext uri="{FF2B5EF4-FFF2-40B4-BE49-F238E27FC236}">
              <a16:creationId xmlns:a16="http://schemas.microsoft.com/office/drawing/2014/main" id="{FAB1522D-9BB7-4244-8061-468034BE0A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12</xdr:col>
      <xdr:colOff>552449</xdr:colOff>
      <xdr:row>9</xdr:row>
      <xdr:rowOff>76200</xdr:rowOff>
    </xdr:from>
    <xdr:to>
      <xdr:col>18</xdr:col>
      <xdr:colOff>581024</xdr:colOff>
      <xdr:row>24</xdr:row>
      <xdr:rowOff>76200</xdr:rowOff>
    </xdr:to>
    <xdr:graphicFrame macro="">
      <xdr:nvGraphicFramePr>
        <xdr:cNvPr id="5" name="Chart 4">
          <a:extLst>
            <a:ext uri="{FF2B5EF4-FFF2-40B4-BE49-F238E27FC236}">
              <a16:creationId xmlns:a16="http://schemas.microsoft.com/office/drawing/2014/main" id="{440B3E69-F34D-433F-A5D8-B2BADF0485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19</xdr:col>
      <xdr:colOff>314325</xdr:colOff>
      <xdr:row>25</xdr:row>
      <xdr:rowOff>161924</xdr:rowOff>
    </xdr:from>
    <xdr:to>
      <xdr:col>28</xdr:col>
      <xdr:colOff>495300</xdr:colOff>
      <xdr:row>41</xdr:row>
      <xdr:rowOff>19050</xdr:rowOff>
    </xdr:to>
    <xdr:graphicFrame macro="">
      <xdr:nvGraphicFramePr>
        <xdr:cNvPr id="13" name="Chart 12">
          <a:extLst>
            <a:ext uri="{FF2B5EF4-FFF2-40B4-BE49-F238E27FC236}">
              <a16:creationId xmlns:a16="http://schemas.microsoft.com/office/drawing/2014/main" id="{9D1E18B3-366C-45DC-AE9A-EF67C9A145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14</xdr:col>
      <xdr:colOff>523875</xdr:colOff>
      <xdr:row>0</xdr:row>
      <xdr:rowOff>133350</xdr:rowOff>
    </xdr:from>
    <xdr:to>
      <xdr:col>16</xdr:col>
      <xdr:colOff>533401</xdr:colOff>
      <xdr:row>6</xdr:row>
      <xdr:rowOff>152400</xdr:rowOff>
    </xdr:to>
    <mc:AlternateContent xmlns:mc="http://schemas.openxmlformats.org/markup-compatibility/2006" xmlns:a14="http://schemas.microsoft.com/office/drawing/2010/main">
      <mc:Choice Requires="a14">
        <xdr:graphicFrame macro="">
          <xdr:nvGraphicFramePr>
            <xdr:cNvPr id="14" name="address_state 1">
              <a:extLst>
                <a:ext uri="{FF2B5EF4-FFF2-40B4-BE49-F238E27FC236}">
                  <a16:creationId xmlns:a16="http://schemas.microsoft.com/office/drawing/2014/main" id="{09F34F3D-055B-4674-85A8-DAB5ABF0E9F6}"/>
                </a:ext>
              </a:extLst>
            </xdr:cNvPr>
            <xdr:cNvGraphicFramePr/>
          </xdr:nvGraphicFramePr>
          <xdr:xfrm>
            <a:off x="0" y="0"/>
            <a:ext cx="0" cy="0"/>
          </xdr:xfrm>
          <a:graphic>
            <a:graphicData uri="http://schemas.microsoft.com/office/drawing/2010/slicer">
              <sle:slicer xmlns:sle="http://schemas.microsoft.com/office/drawing/2010/slicer" name="address_state 1"/>
            </a:graphicData>
          </a:graphic>
        </xdr:graphicFrame>
      </mc:Choice>
      <mc:Fallback xmlns="">
        <xdr:sp macro="" textlink="">
          <xdr:nvSpPr>
            <xdr:cNvPr id="0" name=""/>
            <xdr:cNvSpPr>
              <a:spLocks noTextEdit="1"/>
            </xdr:cNvSpPr>
          </xdr:nvSpPr>
          <xdr:spPr>
            <a:xfrm>
              <a:off x="9058275" y="133350"/>
              <a:ext cx="1228726" cy="1104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581026</xdr:colOff>
      <xdr:row>0</xdr:row>
      <xdr:rowOff>133350</xdr:rowOff>
    </xdr:from>
    <xdr:to>
      <xdr:col>19</xdr:col>
      <xdr:colOff>76200</xdr:colOff>
      <xdr:row>6</xdr:row>
      <xdr:rowOff>152399</xdr:rowOff>
    </xdr:to>
    <mc:AlternateContent xmlns:mc="http://schemas.openxmlformats.org/markup-compatibility/2006" xmlns:a14="http://schemas.microsoft.com/office/drawing/2010/main">
      <mc:Choice Requires="a14">
        <xdr:graphicFrame macro="">
          <xdr:nvGraphicFramePr>
            <xdr:cNvPr id="16" name="emp_length">
              <a:extLst>
                <a:ext uri="{FF2B5EF4-FFF2-40B4-BE49-F238E27FC236}">
                  <a16:creationId xmlns:a16="http://schemas.microsoft.com/office/drawing/2014/main" id="{658F32CB-3A3D-49CF-A4F4-3DD51A60A544}"/>
                </a:ext>
              </a:extLst>
            </xdr:cNvPr>
            <xdr:cNvGraphicFramePr/>
          </xdr:nvGraphicFramePr>
          <xdr:xfrm>
            <a:off x="0" y="0"/>
            <a:ext cx="0" cy="0"/>
          </xdr:xfrm>
          <a:graphic>
            <a:graphicData uri="http://schemas.microsoft.com/office/drawing/2010/slicer">
              <sle:slicer xmlns:sle="http://schemas.microsoft.com/office/drawing/2010/slicer" name="emp_length"/>
            </a:graphicData>
          </a:graphic>
        </xdr:graphicFrame>
      </mc:Choice>
      <mc:Fallback xmlns="">
        <xdr:sp macro="" textlink="">
          <xdr:nvSpPr>
            <xdr:cNvPr id="0" name=""/>
            <xdr:cNvSpPr>
              <a:spLocks noTextEdit="1"/>
            </xdr:cNvSpPr>
          </xdr:nvSpPr>
          <xdr:spPr>
            <a:xfrm>
              <a:off x="10334626" y="161924"/>
              <a:ext cx="1323974" cy="10763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209550</xdr:colOff>
      <xdr:row>0</xdr:row>
      <xdr:rowOff>142874</xdr:rowOff>
    </xdr:from>
    <xdr:to>
      <xdr:col>23</xdr:col>
      <xdr:colOff>314325</xdr:colOff>
      <xdr:row>6</xdr:row>
      <xdr:rowOff>161925</xdr:rowOff>
    </xdr:to>
    <mc:AlternateContent xmlns:mc="http://schemas.openxmlformats.org/markup-compatibility/2006" xmlns:a14="http://schemas.microsoft.com/office/drawing/2010/main">
      <mc:Choice Requires="a14">
        <xdr:graphicFrame macro="">
          <xdr:nvGraphicFramePr>
            <xdr:cNvPr id="17" name="home_ownership">
              <a:extLst>
                <a:ext uri="{FF2B5EF4-FFF2-40B4-BE49-F238E27FC236}">
                  <a16:creationId xmlns:a16="http://schemas.microsoft.com/office/drawing/2014/main" id="{DFFE0F5F-7054-4FC4-9B33-D0C3A1BCFF63}"/>
                </a:ext>
              </a:extLst>
            </xdr:cNvPr>
            <xdr:cNvGraphicFramePr/>
          </xdr:nvGraphicFramePr>
          <xdr:xfrm>
            <a:off x="0" y="0"/>
            <a:ext cx="0" cy="0"/>
          </xdr:xfrm>
          <a:graphic>
            <a:graphicData uri="http://schemas.microsoft.com/office/drawing/2010/slicer">
              <sle:slicer xmlns:sle="http://schemas.microsoft.com/office/drawing/2010/slicer" name="home_ownership"/>
            </a:graphicData>
          </a:graphic>
        </xdr:graphicFrame>
      </mc:Choice>
      <mc:Fallback xmlns="">
        <xdr:sp macro="" textlink="">
          <xdr:nvSpPr>
            <xdr:cNvPr id="0" name=""/>
            <xdr:cNvSpPr>
              <a:spLocks noTextEdit="1"/>
            </xdr:cNvSpPr>
          </xdr:nvSpPr>
          <xdr:spPr>
            <a:xfrm>
              <a:off x="13011150" y="142874"/>
              <a:ext cx="1323975" cy="11049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123825</xdr:colOff>
      <xdr:row>0</xdr:row>
      <xdr:rowOff>133351</xdr:rowOff>
    </xdr:from>
    <xdr:to>
      <xdr:col>21</xdr:col>
      <xdr:colOff>171450</xdr:colOff>
      <xdr:row>6</xdr:row>
      <xdr:rowOff>152401</xdr:rowOff>
    </xdr:to>
    <mc:AlternateContent xmlns:mc="http://schemas.openxmlformats.org/markup-compatibility/2006" xmlns:a14="http://schemas.microsoft.com/office/drawing/2010/main">
      <mc:Choice Requires="a14">
        <xdr:graphicFrame macro="">
          <xdr:nvGraphicFramePr>
            <xdr:cNvPr id="18" name="Loan Quality">
              <a:extLst>
                <a:ext uri="{FF2B5EF4-FFF2-40B4-BE49-F238E27FC236}">
                  <a16:creationId xmlns:a16="http://schemas.microsoft.com/office/drawing/2014/main" id="{DAD2AD19-C75D-43E0-8010-E2FB240516A2}"/>
                </a:ext>
              </a:extLst>
            </xdr:cNvPr>
            <xdr:cNvGraphicFramePr/>
          </xdr:nvGraphicFramePr>
          <xdr:xfrm>
            <a:off x="0" y="0"/>
            <a:ext cx="0" cy="0"/>
          </xdr:xfrm>
          <a:graphic>
            <a:graphicData uri="http://schemas.microsoft.com/office/drawing/2010/slicer">
              <sle:slicer xmlns:sle="http://schemas.microsoft.com/office/drawing/2010/slicer" name="Loan Quality"/>
            </a:graphicData>
          </a:graphic>
        </xdr:graphicFrame>
      </mc:Choice>
      <mc:Fallback xmlns="">
        <xdr:sp macro="" textlink="">
          <xdr:nvSpPr>
            <xdr:cNvPr id="0" name=""/>
            <xdr:cNvSpPr>
              <a:spLocks noTextEdit="1"/>
            </xdr:cNvSpPr>
          </xdr:nvSpPr>
          <xdr:spPr>
            <a:xfrm>
              <a:off x="11706225" y="133351"/>
              <a:ext cx="1266825" cy="1104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mc:AlternateContent xmlns:mc="http://schemas.openxmlformats.org/markup-compatibility/2006">
    <mc:Choice xmlns:a14="http://schemas.microsoft.com/office/drawing/2010/main" Requires="a14">
      <xdr:twoCellAnchor editAs="oneCell">
        <xdr:from>
          <xdr:col>3</xdr:col>
          <xdr:colOff>57150</xdr:colOff>
          <xdr:row>10</xdr:row>
          <xdr:rowOff>161925</xdr:rowOff>
        </xdr:from>
        <xdr:to>
          <xdr:col>12</xdr:col>
          <xdr:colOff>266700</xdr:colOff>
          <xdr:row>23</xdr:row>
          <xdr:rowOff>142874</xdr:rowOff>
        </xdr:to>
        <xdr:pic>
          <xdr:nvPicPr>
            <xdr:cNvPr id="6" name="Picture 5">
              <a:extLst>
                <a:ext uri="{FF2B5EF4-FFF2-40B4-BE49-F238E27FC236}">
                  <a16:creationId xmlns:a16="http://schemas.microsoft.com/office/drawing/2014/main" id="{E3A859DB-7FDF-B64B-E78A-371C75562901}"/>
                </a:ext>
              </a:extLst>
            </xdr:cNvPr>
            <xdr:cNvPicPr>
              <a:picLocks noChangeAspect="1" noChangeArrowheads="1"/>
              <a:extLst>
                <a:ext uri="{84589F7E-364E-4C9E-8A38-B11213B215E9}">
                  <a14:cameraTool cellRange="'Sheet Design'!$A$79:$D$90" spid="_x0000_s3149"/>
                </a:ext>
              </a:extLst>
            </xdr:cNvPicPr>
          </xdr:nvPicPr>
          <xdr:blipFill>
            <a:blip xmlns:r="http://schemas.openxmlformats.org/officeDocument/2006/relationships" r:embed="rId16"/>
            <a:srcRect/>
            <a:stretch>
              <a:fillRect/>
            </a:stretch>
          </xdr:blipFill>
          <xdr:spPr bwMode="auto">
            <a:xfrm>
              <a:off x="1885950" y="1971675"/>
              <a:ext cx="5695950" cy="2333624"/>
            </a:xfrm>
            <a:prstGeom prst="rect">
              <a:avLst/>
            </a:prstGeom>
            <a:noFill/>
            <a:extLst>
              <a:ext uri="{909E8E84-426E-40DD-AFC4-6F175D3DCCD1}">
                <a14:hiddenFill>
                  <a:solidFill>
                    <a:srgbClr val="FFFFFF"/>
                  </a:solidFill>
                </a14:hiddenFill>
              </a:ext>
            </a:extLst>
          </xdr:spPr>
        </xdr:pic>
        <xdr:clientData/>
      </xdr:twoCellAnchor>
    </mc:Choice>
    <mc:Fallback/>
  </mc:AlternateContent>
  <xdr:oneCellAnchor>
    <xdr:from>
      <xdr:col>3</xdr:col>
      <xdr:colOff>66675</xdr:colOff>
      <xdr:row>9</xdr:row>
      <xdr:rowOff>76200</xdr:rowOff>
    </xdr:from>
    <xdr:ext cx="5686425" cy="329535"/>
    <xdr:sp macro="" textlink="">
      <xdr:nvSpPr>
        <xdr:cNvPr id="7" name="TextBox 6">
          <a:extLst>
            <a:ext uri="{FF2B5EF4-FFF2-40B4-BE49-F238E27FC236}">
              <a16:creationId xmlns:a16="http://schemas.microsoft.com/office/drawing/2014/main" id="{A1AE43C9-4BE6-44D2-85F7-7E5B8AAF507C}"/>
            </a:ext>
          </a:extLst>
        </xdr:cNvPr>
        <xdr:cNvSpPr txBox="1"/>
      </xdr:nvSpPr>
      <xdr:spPr>
        <a:xfrm>
          <a:off x="1895475" y="1704975"/>
          <a:ext cx="5686425" cy="329535"/>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400" baseline="0">
              <a:solidFill>
                <a:schemeClr val="accent2">
                  <a:lumMod val="50000"/>
                </a:schemeClr>
              </a:solidFill>
            </a:rPr>
            <a:t>LOAN PERFORMANCE OVER STATE AND RISK FACTORS</a:t>
          </a:r>
          <a:endParaRPr lang="en-IN" sz="1400">
            <a:solidFill>
              <a:schemeClr val="accent2">
                <a:lumMod val="50000"/>
              </a:schemeClr>
            </a:solidFill>
          </a:endParaRPr>
        </a:p>
      </xdr:txBody>
    </xdr:sp>
    <xdr:clientData/>
  </xdr:oneCellAnchor>
  <xdr:twoCellAnchor>
    <xdr:from>
      <xdr:col>3</xdr:col>
      <xdr:colOff>66675</xdr:colOff>
      <xdr:row>9</xdr:row>
      <xdr:rowOff>76200</xdr:rowOff>
    </xdr:from>
    <xdr:to>
      <xdr:col>12</xdr:col>
      <xdr:colOff>266700</xdr:colOff>
      <xdr:row>24</xdr:row>
      <xdr:rowOff>47624</xdr:rowOff>
    </xdr:to>
    <xdr:sp macro="" textlink="">
      <xdr:nvSpPr>
        <xdr:cNvPr id="8" name="Rectangle 7">
          <a:extLst>
            <a:ext uri="{FF2B5EF4-FFF2-40B4-BE49-F238E27FC236}">
              <a16:creationId xmlns:a16="http://schemas.microsoft.com/office/drawing/2014/main" id="{79887D90-0DAD-4C12-B32E-BC27828D70C3}"/>
            </a:ext>
          </a:extLst>
        </xdr:cNvPr>
        <xdr:cNvSpPr/>
      </xdr:nvSpPr>
      <xdr:spPr>
        <a:xfrm>
          <a:off x="1895475" y="1704975"/>
          <a:ext cx="5686425" cy="2686049"/>
        </a:xfrm>
        <a:prstGeom prst="rect">
          <a:avLst/>
        </a:prstGeom>
        <a:noFill/>
        <a:ln>
          <a:solidFill>
            <a:schemeClr val="bg1">
              <a:lumMod val="8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0</xdr:col>
      <xdr:colOff>142875</xdr:colOff>
      <xdr:row>42</xdr:row>
      <xdr:rowOff>85725</xdr:rowOff>
    </xdr:from>
    <xdr:ext cx="17592675" cy="264560"/>
    <xdr:sp macro="" textlink="">
      <xdr:nvSpPr>
        <xdr:cNvPr id="9" name="TextBox 8">
          <a:extLst>
            <a:ext uri="{FF2B5EF4-FFF2-40B4-BE49-F238E27FC236}">
              <a16:creationId xmlns:a16="http://schemas.microsoft.com/office/drawing/2014/main" id="{AD4E6938-B3AC-4893-AAB1-761D00B39EC8}"/>
            </a:ext>
          </a:extLst>
        </xdr:cNvPr>
        <xdr:cNvSpPr txBox="1"/>
      </xdr:nvSpPr>
      <xdr:spPr>
        <a:xfrm>
          <a:off x="142875" y="7686675"/>
          <a:ext cx="1759267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100"/>
            <a:t>DTI - Debt to Income Ratio, Avg</a:t>
          </a:r>
          <a:r>
            <a:rPr lang="en-IN" sz="1100" baseline="0"/>
            <a:t> = Average, Amt = Amount, Inc = Income, Int Rate = Interest Rate, Exp  = Experience</a:t>
          </a:r>
          <a:r>
            <a:rPr lang="en-IN" sz="1100" baseline="0">
              <a:solidFill>
                <a:schemeClr val="tx1"/>
              </a:solidFill>
              <a:effectLst/>
              <a:latin typeface="+mn-lt"/>
              <a:ea typeface="+mn-ea"/>
              <a:cs typeface="+mn-cs"/>
            </a:rPr>
            <a:t>, Unemp = Unemployment</a:t>
          </a:r>
          <a:endParaRPr lang="en-IN" sz="1100"/>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2</xdr:col>
      <xdr:colOff>323850</xdr:colOff>
      <xdr:row>0</xdr:row>
      <xdr:rowOff>0</xdr:rowOff>
    </xdr:from>
    <xdr:to>
      <xdr:col>29</xdr:col>
      <xdr:colOff>66674</xdr:colOff>
      <xdr:row>7</xdr:row>
      <xdr:rowOff>58206</xdr:rowOff>
    </xdr:to>
    <xdr:sp macro="" textlink="">
      <xdr:nvSpPr>
        <xdr:cNvPr id="23" name="Rectangle: Top Corners Rounded 22">
          <a:extLst>
            <a:ext uri="{FF2B5EF4-FFF2-40B4-BE49-F238E27FC236}">
              <a16:creationId xmlns:a16="http://schemas.microsoft.com/office/drawing/2014/main" id="{E8341A9E-0CAA-4B51-A44B-7E63ED9BEB1C}"/>
            </a:ext>
          </a:extLst>
        </xdr:cNvPr>
        <xdr:cNvSpPr/>
      </xdr:nvSpPr>
      <xdr:spPr>
        <a:xfrm rot="10800000">
          <a:off x="1543050" y="0"/>
          <a:ext cx="16202024" cy="1362073"/>
        </a:xfrm>
        <a:prstGeom prst="round2SameRect">
          <a:avLst/>
        </a:prstGeom>
        <a:solidFill>
          <a:srgbClr val="F4F4F4">
            <a:alpha val="30000"/>
          </a:srgb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42859</xdr:colOff>
      <xdr:row>7</xdr:row>
      <xdr:rowOff>138492</xdr:rowOff>
    </xdr:from>
    <xdr:to>
      <xdr:col>2</xdr:col>
      <xdr:colOff>261934</xdr:colOff>
      <xdr:row>40</xdr:row>
      <xdr:rowOff>8773</xdr:rowOff>
    </xdr:to>
    <xdr:sp macro="" textlink="">
      <xdr:nvSpPr>
        <xdr:cNvPr id="24" name="Rectangle: Top Corners Rounded 23">
          <a:extLst>
            <a:ext uri="{FF2B5EF4-FFF2-40B4-BE49-F238E27FC236}">
              <a16:creationId xmlns:a16="http://schemas.microsoft.com/office/drawing/2014/main" id="{3091CC1C-31C2-4C79-A05A-2EA352BB8A7D}"/>
            </a:ext>
          </a:extLst>
        </xdr:cNvPr>
        <xdr:cNvSpPr/>
      </xdr:nvSpPr>
      <xdr:spPr>
        <a:xfrm rot="5400000">
          <a:off x="-2246544" y="3731762"/>
          <a:ext cx="6017081" cy="1438275"/>
        </a:xfrm>
        <a:prstGeom prst="round2SameRect">
          <a:avLst/>
        </a:prstGeom>
        <a:solidFill>
          <a:srgbClr val="F4F4F4">
            <a:alpha val="30000"/>
          </a:srgb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0</xdr:colOff>
      <xdr:row>0</xdr:row>
      <xdr:rowOff>19050</xdr:rowOff>
    </xdr:from>
    <xdr:to>
      <xdr:col>2</xdr:col>
      <xdr:colOff>228600</xdr:colOff>
      <xdr:row>7</xdr:row>
      <xdr:rowOff>86783</xdr:rowOff>
    </xdr:to>
    <xdr:sp macro="" textlink="">
      <xdr:nvSpPr>
        <xdr:cNvPr id="25" name="Rectangle 24">
          <a:extLst>
            <a:ext uri="{FF2B5EF4-FFF2-40B4-BE49-F238E27FC236}">
              <a16:creationId xmlns:a16="http://schemas.microsoft.com/office/drawing/2014/main" id="{40C1AD8A-208E-40EB-8EF6-C13117C8B6BC}"/>
            </a:ext>
          </a:extLst>
        </xdr:cNvPr>
        <xdr:cNvSpPr/>
      </xdr:nvSpPr>
      <xdr:spPr>
        <a:xfrm>
          <a:off x="0" y="19050"/>
          <a:ext cx="1447800" cy="1371600"/>
        </a:xfrm>
        <a:prstGeom prst="rect">
          <a:avLst/>
        </a:prstGeom>
        <a:solidFill>
          <a:srgbClr val="F4F4F4">
            <a:alpha val="30000"/>
          </a:srgb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76200</xdr:colOff>
      <xdr:row>40</xdr:row>
      <xdr:rowOff>98576</xdr:rowOff>
    </xdr:from>
    <xdr:to>
      <xdr:col>29</xdr:col>
      <xdr:colOff>19050</xdr:colOff>
      <xdr:row>43</xdr:row>
      <xdr:rowOff>14665</xdr:rowOff>
    </xdr:to>
    <xdr:sp macro="" textlink="">
      <xdr:nvSpPr>
        <xdr:cNvPr id="26" name="Rectangle 25">
          <a:extLst>
            <a:ext uri="{FF2B5EF4-FFF2-40B4-BE49-F238E27FC236}">
              <a16:creationId xmlns:a16="http://schemas.microsoft.com/office/drawing/2014/main" id="{CE1E8AF5-4729-49FC-8E95-DC22738F6E8A}"/>
            </a:ext>
          </a:extLst>
        </xdr:cNvPr>
        <xdr:cNvSpPr/>
      </xdr:nvSpPr>
      <xdr:spPr>
        <a:xfrm flipV="1">
          <a:off x="76200" y="7549243"/>
          <a:ext cx="17621250" cy="474889"/>
        </a:xfrm>
        <a:prstGeom prst="rect">
          <a:avLst/>
        </a:prstGeom>
        <a:solidFill>
          <a:schemeClr val="accent1">
            <a:alpha val="3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85724</xdr:colOff>
      <xdr:row>0</xdr:row>
      <xdr:rowOff>19050</xdr:rowOff>
    </xdr:from>
    <xdr:to>
      <xdr:col>2</xdr:col>
      <xdr:colOff>114299</xdr:colOff>
      <xdr:row>7</xdr:row>
      <xdr:rowOff>111663</xdr:rowOff>
    </xdr:to>
    <xdr:pic>
      <xdr:nvPicPr>
        <xdr:cNvPr id="27" name="Picture 26">
          <a:extLst>
            <a:ext uri="{FF2B5EF4-FFF2-40B4-BE49-F238E27FC236}">
              <a16:creationId xmlns:a16="http://schemas.microsoft.com/office/drawing/2014/main" id="{5D64E88D-BBDC-44B3-8759-40FFF7D6DF6D}"/>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76547" t="32905" r="7643" b="33639"/>
        <a:stretch/>
      </xdr:blipFill>
      <xdr:spPr>
        <a:xfrm>
          <a:off x="85724" y="19050"/>
          <a:ext cx="1247775" cy="1396480"/>
        </a:xfrm>
        <a:prstGeom prst="rect">
          <a:avLst/>
        </a:prstGeom>
        <a:effectLst>
          <a:outerShdw blurRad="50800" dist="38100" dir="5400000" algn="t" rotWithShape="0">
            <a:prstClr val="black">
              <a:alpha val="40000"/>
            </a:prstClr>
          </a:outerShdw>
        </a:effectLst>
      </xdr:spPr>
    </xdr:pic>
    <xdr:clientData/>
  </xdr:twoCellAnchor>
  <xdr:twoCellAnchor editAs="oneCell">
    <xdr:from>
      <xdr:col>0</xdr:col>
      <xdr:colOff>76200</xdr:colOff>
      <xdr:row>9</xdr:row>
      <xdr:rowOff>8166</xdr:rowOff>
    </xdr:from>
    <xdr:to>
      <xdr:col>2</xdr:col>
      <xdr:colOff>200025</xdr:colOff>
      <xdr:row>14</xdr:row>
      <xdr:rowOff>120500</xdr:rowOff>
    </xdr:to>
    <xdr:pic>
      <xdr:nvPicPr>
        <xdr:cNvPr id="28" name="Picture 27">
          <a:hlinkClick xmlns:r="http://schemas.openxmlformats.org/officeDocument/2006/relationships" r:id="rId2"/>
          <a:extLst>
            <a:ext uri="{FF2B5EF4-FFF2-40B4-BE49-F238E27FC236}">
              <a16:creationId xmlns:a16="http://schemas.microsoft.com/office/drawing/2014/main" id="{4A4B24D8-810E-4728-9644-59CEB782209D}"/>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8786" t="20955" r="60000" b="52206"/>
        <a:stretch/>
      </xdr:blipFill>
      <xdr:spPr>
        <a:xfrm>
          <a:off x="76200" y="1684566"/>
          <a:ext cx="1343025" cy="1043667"/>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95250</xdr:colOff>
      <xdr:row>17</xdr:row>
      <xdr:rowOff>27064</xdr:rowOff>
    </xdr:from>
    <xdr:to>
      <xdr:col>2</xdr:col>
      <xdr:colOff>190500</xdr:colOff>
      <xdr:row>22</xdr:row>
      <xdr:rowOff>152445</xdr:rowOff>
    </xdr:to>
    <xdr:pic>
      <xdr:nvPicPr>
        <xdr:cNvPr id="29" name="Picture 28">
          <a:hlinkClick xmlns:r="http://schemas.openxmlformats.org/officeDocument/2006/relationships" r:id="rId4"/>
          <a:extLst>
            <a:ext uri="{FF2B5EF4-FFF2-40B4-BE49-F238E27FC236}">
              <a16:creationId xmlns:a16="http://schemas.microsoft.com/office/drawing/2014/main" id="{DF1224E9-256C-40C0-8DEF-F75AF91F771F}"/>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3016" t="21324" r="27818" b="52206"/>
        <a:stretch/>
      </xdr:blipFill>
      <xdr:spPr>
        <a:xfrm>
          <a:off x="95250" y="3193597"/>
          <a:ext cx="1314450" cy="1056715"/>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76199</xdr:colOff>
      <xdr:row>24</xdr:row>
      <xdr:rowOff>146506</xdr:rowOff>
    </xdr:from>
    <xdr:to>
      <xdr:col>2</xdr:col>
      <xdr:colOff>228600</xdr:colOff>
      <xdr:row>30</xdr:row>
      <xdr:rowOff>158298</xdr:rowOff>
    </xdr:to>
    <xdr:pic>
      <xdr:nvPicPr>
        <xdr:cNvPr id="30" name="Picture 29">
          <a:hlinkClick xmlns:r="http://schemas.openxmlformats.org/officeDocument/2006/relationships" r:id="rId6"/>
          <a:extLst>
            <a:ext uri="{FF2B5EF4-FFF2-40B4-BE49-F238E27FC236}">
              <a16:creationId xmlns:a16="http://schemas.microsoft.com/office/drawing/2014/main" id="{CC7D3441-AD6F-4D77-B10B-876C3DEE73D2}"/>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088" t="50919" r="59296" b="21875"/>
        <a:stretch/>
      </xdr:blipFill>
      <xdr:spPr>
        <a:xfrm>
          <a:off x="76199" y="4616906"/>
          <a:ext cx="1371601" cy="1129392"/>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104776</xdr:colOff>
      <xdr:row>32</xdr:row>
      <xdr:rowOff>184454</xdr:rowOff>
    </xdr:from>
    <xdr:to>
      <xdr:col>2</xdr:col>
      <xdr:colOff>180975</xdr:colOff>
      <xdr:row>39</xdr:row>
      <xdr:rowOff>9980</xdr:rowOff>
    </xdr:to>
    <xdr:pic>
      <xdr:nvPicPr>
        <xdr:cNvPr id="31" name="Picture 30">
          <a:hlinkClick xmlns:r="http://schemas.openxmlformats.org/officeDocument/2006/relationships" r:id="rId8"/>
          <a:extLst>
            <a:ext uri="{FF2B5EF4-FFF2-40B4-BE49-F238E27FC236}">
              <a16:creationId xmlns:a16="http://schemas.microsoft.com/office/drawing/2014/main" id="{0D916CEB-F66E-4F7F-8A0D-2D4929E88F02}"/>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2524" t="51286" r="27819" b="22427"/>
        <a:stretch/>
      </xdr:blipFill>
      <xdr:spPr>
        <a:xfrm>
          <a:off x="104776" y="6144987"/>
          <a:ext cx="1295399" cy="1129393"/>
        </a:xfrm>
        <a:prstGeom prst="rect">
          <a:avLst/>
        </a:prstGeom>
        <a:effectLst>
          <a:outerShdw blurRad="50800" dist="38100" dir="2700000" algn="tl" rotWithShape="0">
            <a:prstClr val="black">
              <a:alpha val="40000"/>
            </a:prstClr>
          </a:outerShdw>
        </a:effectLst>
      </xdr:spPr>
    </xdr:pic>
    <xdr:clientData/>
  </xdr:twoCellAnchor>
  <xdr:oneCellAnchor>
    <xdr:from>
      <xdr:col>2</xdr:col>
      <xdr:colOff>542924</xdr:colOff>
      <xdr:row>1</xdr:row>
      <xdr:rowOff>55941</xdr:rowOff>
    </xdr:from>
    <xdr:ext cx="11249026" cy="501740"/>
    <xdr:sp macro="" textlink="">
      <xdr:nvSpPr>
        <xdr:cNvPr id="32" name="TextBox 31">
          <a:extLst>
            <a:ext uri="{FF2B5EF4-FFF2-40B4-BE49-F238E27FC236}">
              <a16:creationId xmlns:a16="http://schemas.microsoft.com/office/drawing/2014/main" id="{19E2DC22-7533-4522-A8E8-24631D20268A}"/>
            </a:ext>
          </a:extLst>
        </xdr:cNvPr>
        <xdr:cNvSpPr txBox="1"/>
      </xdr:nvSpPr>
      <xdr:spPr>
        <a:xfrm>
          <a:off x="1762124" y="242208"/>
          <a:ext cx="11249026" cy="501740"/>
        </a:xfrm>
        <a:prstGeom prst="rect">
          <a:avLst/>
        </a:prstGeom>
        <a:noFill/>
        <a:effectLst>
          <a:outerShdw blurRad="50800" dist="38100" dir="8100000" algn="tr"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r>
            <a:rPr lang="en-IN" sz="2400" u="sng">
              <a:solidFill>
                <a:schemeClr val="tx1"/>
              </a:solidFill>
              <a:latin typeface="Segoe UI Semibold" panose="020B0702040204020203" pitchFamily="34" charset="0"/>
              <a:ea typeface="+mn-ea"/>
              <a:cs typeface="Segoe UI Semibold" panose="020B0702040204020203" pitchFamily="34" charset="0"/>
            </a:rPr>
            <a:t>Bank Loan Health Monitoring &amp; Predictive Insights</a:t>
          </a:r>
        </a:p>
      </xdr:txBody>
    </xdr:sp>
    <xdr:clientData/>
  </xdr:oneCellAnchor>
  <xdr:oneCellAnchor>
    <xdr:from>
      <xdr:col>3</xdr:col>
      <xdr:colOff>314325</xdr:colOff>
      <xdr:row>3</xdr:row>
      <xdr:rowOff>101147</xdr:rowOff>
    </xdr:from>
    <xdr:ext cx="6056145" cy="262892"/>
    <xdr:sp macro="" textlink="">
      <xdr:nvSpPr>
        <xdr:cNvPr id="33" name="TextBox 32">
          <a:extLst>
            <a:ext uri="{FF2B5EF4-FFF2-40B4-BE49-F238E27FC236}">
              <a16:creationId xmlns:a16="http://schemas.microsoft.com/office/drawing/2014/main" id="{FB72B4E7-FBE3-43EF-AC3A-C4B8F5622FCD}"/>
            </a:ext>
          </a:extLst>
        </xdr:cNvPr>
        <xdr:cNvSpPr txBox="1"/>
      </xdr:nvSpPr>
      <xdr:spPr>
        <a:xfrm>
          <a:off x="2143125" y="659947"/>
          <a:ext cx="6056145" cy="262892"/>
        </a:xfrm>
        <a:prstGeom prst="rect">
          <a:avLst/>
        </a:prstGeom>
        <a:noFill/>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000">
              <a:latin typeface="Segoe UI Semibold" panose="020B0702040204020203" pitchFamily="34" charset="0"/>
              <a:cs typeface="Segoe UI Semibold" panose="020B0702040204020203" pitchFamily="34" charset="0"/>
            </a:rPr>
            <a:t>An end-to-end data-driven assessment of loan performance, borrower risk, and economic influences.</a:t>
          </a:r>
        </a:p>
      </xdr:txBody>
    </xdr:sp>
    <xdr:clientData/>
  </xdr:oneCellAnchor>
  <xdr:twoCellAnchor>
    <xdr:from>
      <xdr:col>23</xdr:col>
      <xdr:colOff>428623</xdr:colOff>
      <xdr:row>0</xdr:row>
      <xdr:rowOff>114300</xdr:rowOff>
    </xdr:from>
    <xdr:to>
      <xdr:col>28</xdr:col>
      <xdr:colOff>600068</xdr:colOff>
      <xdr:row>7</xdr:row>
      <xdr:rowOff>1055</xdr:rowOff>
    </xdr:to>
    <xdr:sp macro="" textlink="">
      <xdr:nvSpPr>
        <xdr:cNvPr id="34" name="Rectangle: Top Corners Rounded 33">
          <a:extLst>
            <a:ext uri="{FF2B5EF4-FFF2-40B4-BE49-F238E27FC236}">
              <a16:creationId xmlns:a16="http://schemas.microsoft.com/office/drawing/2014/main" id="{8FA2B7CD-E550-48E5-A571-9EE490914D29}"/>
            </a:ext>
          </a:extLst>
        </xdr:cNvPr>
        <xdr:cNvSpPr/>
      </xdr:nvSpPr>
      <xdr:spPr>
        <a:xfrm rot="10800000">
          <a:off x="14449423" y="114300"/>
          <a:ext cx="3219445" cy="1190622"/>
        </a:xfrm>
        <a:prstGeom prst="round2SameRect">
          <a:avLst/>
        </a:prstGeom>
        <a:solidFill>
          <a:schemeClr val="accent2"/>
        </a:solidFill>
        <a:ln>
          <a:noFill/>
        </a:ln>
        <a:effectLst>
          <a:outerShdw blurRad="50800" dist="50800" dir="60000" algn="ctr" rotWithShape="0">
            <a:srgbClr val="000000">
              <a:alpha val="43137"/>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rtlCol="0" anchor="t" anchorCtr="0"/>
        <a:lstStyle/>
        <a:p>
          <a:pPr algn="l"/>
          <a:endParaRPr lang="en-IN" sz="1400">
            <a:effectLst>
              <a:outerShdw blurRad="50800" dist="50800" dir="600000" algn="ctr" rotWithShape="0">
                <a:srgbClr val="000000">
                  <a:alpha val="43137"/>
                </a:srgbClr>
              </a:outerShdw>
            </a:effectLst>
            <a:latin typeface="Segoe UI Semibold" panose="020B0702040204020203" pitchFamily="34" charset="0"/>
            <a:cs typeface="Segoe UI Semibold" panose="020B0702040204020203" pitchFamily="34" charset="0"/>
          </a:endParaRPr>
        </a:p>
      </xdr:txBody>
    </xdr:sp>
    <xdr:clientData/>
  </xdr:twoCellAnchor>
  <xdr:oneCellAnchor>
    <xdr:from>
      <xdr:col>23</xdr:col>
      <xdr:colOff>447675</xdr:colOff>
      <xdr:row>0</xdr:row>
      <xdr:rowOff>133445</xdr:rowOff>
    </xdr:from>
    <xdr:ext cx="2313454" cy="365228"/>
    <xdr:sp macro="" textlink="">
      <xdr:nvSpPr>
        <xdr:cNvPr id="35" name="TextBox 34">
          <a:extLst>
            <a:ext uri="{FF2B5EF4-FFF2-40B4-BE49-F238E27FC236}">
              <a16:creationId xmlns:a16="http://schemas.microsoft.com/office/drawing/2014/main" id="{1B96C7B9-0BDE-471F-A74D-9CF80DDFA6C0}"/>
            </a:ext>
          </a:extLst>
        </xdr:cNvPr>
        <xdr:cNvSpPr txBox="1"/>
      </xdr:nvSpPr>
      <xdr:spPr>
        <a:xfrm>
          <a:off x="14468475" y="133445"/>
          <a:ext cx="2313454" cy="365228"/>
        </a:xfrm>
        <a:prstGeom prst="rect">
          <a:avLst/>
        </a:prstGeom>
        <a:solidFill>
          <a:schemeClr val="accent2"/>
        </a:solidFill>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l"/>
          <a:r>
            <a:rPr lang="en-IN" sz="1600">
              <a:solidFill>
                <a:schemeClr val="bg1"/>
              </a:solidFill>
              <a:latin typeface="Segoe UI Semibold" panose="020B0702040204020203" pitchFamily="34" charset="0"/>
              <a:cs typeface="Segoe UI Semibold" panose="020B0702040204020203" pitchFamily="34" charset="0"/>
            </a:rPr>
            <a:t>Risk &amp; Fraud Detection</a:t>
          </a:r>
          <a:endParaRPr lang="en-IN" sz="1600">
            <a:solidFill>
              <a:schemeClr val="bg1"/>
            </a:solidFill>
            <a:effectLst>
              <a:outerShdw blurRad="50800" dist="38100" dir="8100000" algn="tr"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23</xdr:col>
      <xdr:colOff>466725</xdr:colOff>
      <xdr:row>2</xdr:row>
      <xdr:rowOff>102355</xdr:rowOff>
    </xdr:from>
    <xdr:ext cx="3133725" cy="695327"/>
    <xdr:sp macro="" textlink="">
      <xdr:nvSpPr>
        <xdr:cNvPr id="36" name="TextBox 35">
          <a:extLst>
            <a:ext uri="{FF2B5EF4-FFF2-40B4-BE49-F238E27FC236}">
              <a16:creationId xmlns:a16="http://schemas.microsoft.com/office/drawing/2014/main" id="{971BC998-C9C1-4A3F-A2F0-825ECE709CE1}"/>
            </a:ext>
          </a:extLst>
        </xdr:cNvPr>
        <xdr:cNvSpPr txBox="1"/>
      </xdr:nvSpPr>
      <xdr:spPr>
        <a:xfrm>
          <a:off x="14487525" y="474888"/>
          <a:ext cx="3133725" cy="6953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a:t>Identifying high-risk and potentially fraudulent loans using DAX-driven flags and logic.</a:t>
          </a:r>
          <a:endParaRPr lang="en-IN" sz="1100"/>
        </a:p>
      </xdr:txBody>
    </xdr:sp>
    <xdr:clientData/>
  </xdr:oneCellAnchor>
  <xdr:oneCellAnchor>
    <xdr:from>
      <xdr:col>0</xdr:col>
      <xdr:colOff>76199</xdr:colOff>
      <xdr:row>41</xdr:row>
      <xdr:rowOff>17086</xdr:rowOff>
    </xdr:from>
    <xdr:ext cx="17592675" cy="264560"/>
    <xdr:sp macro="" textlink="">
      <xdr:nvSpPr>
        <xdr:cNvPr id="37" name="TextBox 36">
          <a:extLst>
            <a:ext uri="{FF2B5EF4-FFF2-40B4-BE49-F238E27FC236}">
              <a16:creationId xmlns:a16="http://schemas.microsoft.com/office/drawing/2014/main" id="{8C1E7BAB-6673-4AD7-B0BF-DAEB58391E52}"/>
            </a:ext>
          </a:extLst>
        </xdr:cNvPr>
        <xdr:cNvSpPr txBox="1"/>
      </xdr:nvSpPr>
      <xdr:spPr>
        <a:xfrm>
          <a:off x="76199" y="7654019"/>
          <a:ext cx="1759267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100"/>
            <a:t>DTI - Debt to Income Ratio, Avg</a:t>
          </a:r>
          <a:r>
            <a:rPr lang="en-IN" sz="1100" baseline="0"/>
            <a:t> = Average, Amt = Amount, Inc = Income, Int Rate = Interest Rate, Exp  = Experience</a:t>
          </a:r>
          <a:r>
            <a:rPr lang="en-IN" sz="1100" baseline="0">
              <a:solidFill>
                <a:schemeClr val="tx1"/>
              </a:solidFill>
              <a:effectLst/>
              <a:latin typeface="+mn-lt"/>
              <a:ea typeface="+mn-ea"/>
              <a:cs typeface="+mn-cs"/>
            </a:rPr>
            <a:t>, Unemp = Unemployment</a:t>
          </a:r>
          <a:endParaRPr lang="en-IN" sz="1100"/>
        </a:p>
      </xdr:txBody>
    </xdr:sp>
    <xdr:clientData/>
  </xdr:oneCellAnchor>
  <xdr:twoCellAnchor editAs="oneCell">
    <xdr:from>
      <xdr:col>0</xdr:col>
      <xdr:colOff>152401</xdr:colOff>
      <xdr:row>40</xdr:row>
      <xdr:rowOff>136678</xdr:rowOff>
    </xdr:from>
    <xdr:to>
      <xdr:col>0</xdr:col>
      <xdr:colOff>514350</xdr:colOff>
      <xdr:row>42</xdr:row>
      <xdr:rowOff>134258</xdr:rowOff>
    </xdr:to>
    <xdr:pic>
      <xdr:nvPicPr>
        <xdr:cNvPr id="38" name="Picture 37">
          <a:extLst>
            <a:ext uri="{FF2B5EF4-FFF2-40B4-BE49-F238E27FC236}">
              <a16:creationId xmlns:a16="http://schemas.microsoft.com/office/drawing/2014/main" id="{E842B2AA-DCCE-4488-95B9-6276FE46371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2401" y="7587345"/>
          <a:ext cx="361949" cy="370113"/>
        </a:xfrm>
        <a:prstGeom prst="rect">
          <a:avLst/>
        </a:prstGeom>
        <a:effectLst>
          <a:outerShdw blurRad="50800" dist="38100" dir="2700000" algn="tl" rotWithShape="0">
            <a:prstClr val="black">
              <a:alpha val="40000"/>
            </a:prstClr>
          </a:outerShdw>
        </a:effectLst>
      </xdr:spPr>
    </xdr:pic>
    <xdr:clientData/>
  </xdr:twoCellAnchor>
  <xdr:twoCellAnchor>
    <xdr:from>
      <xdr:col>0</xdr:col>
      <xdr:colOff>95250</xdr:colOff>
      <xdr:row>24</xdr:row>
      <xdr:rowOff>142875</xdr:rowOff>
    </xdr:from>
    <xdr:to>
      <xdr:col>2</xdr:col>
      <xdr:colOff>228600</xdr:colOff>
      <xdr:row>30</xdr:row>
      <xdr:rowOff>152400</xdr:rowOff>
    </xdr:to>
    <xdr:sp macro="" textlink="">
      <xdr:nvSpPr>
        <xdr:cNvPr id="39" name="Rectangle: Rounded Corners 38">
          <a:extLst>
            <a:ext uri="{FF2B5EF4-FFF2-40B4-BE49-F238E27FC236}">
              <a16:creationId xmlns:a16="http://schemas.microsoft.com/office/drawing/2014/main" id="{837E86A8-B7AA-427A-954E-53DD401362B2}"/>
            </a:ext>
          </a:extLst>
        </xdr:cNvPr>
        <xdr:cNvSpPr/>
      </xdr:nvSpPr>
      <xdr:spPr>
        <a:xfrm>
          <a:off x="95250" y="4486275"/>
          <a:ext cx="1352550" cy="1095375"/>
        </a:xfrm>
        <a:prstGeom prst="roundRect">
          <a:avLst/>
        </a:prstGeom>
        <a:solidFill>
          <a:schemeClr val="accent1">
            <a:alpha val="2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523875</xdr:colOff>
      <xdr:row>14</xdr:row>
      <xdr:rowOff>76200</xdr:rowOff>
    </xdr:from>
    <xdr:to>
      <xdr:col>17</xdr:col>
      <xdr:colOff>152399</xdr:colOff>
      <xdr:row>25</xdr:row>
      <xdr:rowOff>161925</xdr:rowOff>
    </xdr:to>
    <xdr:graphicFrame macro="">
      <xdr:nvGraphicFramePr>
        <xdr:cNvPr id="2" name="Chart 1">
          <a:extLst>
            <a:ext uri="{FF2B5EF4-FFF2-40B4-BE49-F238E27FC236}">
              <a16:creationId xmlns:a16="http://schemas.microsoft.com/office/drawing/2014/main" id="{D32E7A85-4DCA-4137-8217-40459DC1A9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10</xdr:col>
      <xdr:colOff>523876</xdr:colOff>
      <xdr:row>28</xdr:row>
      <xdr:rowOff>0</xdr:rowOff>
    </xdr:from>
    <xdr:to>
      <xdr:col>14</xdr:col>
      <xdr:colOff>57150</xdr:colOff>
      <xdr:row>40</xdr:row>
      <xdr:rowOff>9525</xdr:rowOff>
    </xdr:to>
    <xdr:graphicFrame macro="">
      <xdr:nvGraphicFramePr>
        <xdr:cNvPr id="3" name="Chart 2">
          <a:extLst>
            <a:ext uri="{FF2B5EF4-FFF2-40B4-BE49-F238E27FC236}">
              <a16:creationId xmlns:a16="http://schemas.microsoft.com/office/drawing/2014/main" id="{0A0C3605-0266-43EE-8464-FA241012BF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mc:AlternateContent xmlns:mc="http://schemas.openxmlformats.org/markup-compatibility/2006">
    <mc:Choice xmlns:a14="http://schemas.microsoft.com/office/drawing/2010/main" Requires="a14">
      <xdr:twoCellAnchor editAs="oneCell">
        <xdr:from>
          <xdr:col>17</xdr:col>
          <xdr:colOff>276226</xdr:colOff>
          <xdr:row>9</xdr:row>
          <xdr:rowOff>19049</xdr:rowOff>
        </xdr:from>
        <xdr:to>
          <xdr:col>28</xdr:col>
          <xdr:colOff>600075</xdr:colOff>
          <xdr:row>40</xdr:row>
          <xdr:rowOff>38099</xdr:rowOff>
        </xdr:to>
        <xdr:pic>
          <xdr:nvPicPr>
            <xdr:cNvPr id="5" name="Picture 4">
              <a:extLst>
                <a:ext uri="{FF2B5EF4-FFF2-40B4-BE49-F238E27FC236}">
                  <a16:creationId xmlns:a16="http://schemas.microsoft.com/office/drawing/2014/main" id="{97D2F37E-D0A5-0585-9A79-D75360FC9AB4}"/>
                </a:ext>
              </a:extLst>
            </xdr:cNvPr>
            <xdr:cNvPicPr>
              <a:picLocks noChangeAspect="1" noChangeArrowheads="1"/>
              <a:extLst>
                <a:ext uri="{84589F7E-364E-4C9E-8A38-B11213B215E9}">
                  <a14:cameraTool cellRange="'Sheet Design'!$B$119:$I$167" spid="_x0000_s5220"/>
                </a:ext>
              </a:extLst>
            </xdr:cNvPicPr>
          </xdr:nvPicPr>
          <xdr:blipFill>
            <a:blip xmlns:r="http://schemas.openxmlformats.org/officeDocument/2006/relationships" r:embed="rId13"/>
            <a:srcRect/>
            <a:stretch>
              <a:fillRect/>
            </a:stretch>
          </xdr:blipFill>
          <xdr:spPr bwMode="auto">
            <a:xfrm>
              <a:off x="10639426" y="1647824"/>
              <a:ext cx="7029449" cy="5629275"/>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2</xdr:col>
      <xdr:colOff>390525</xdr:colOff>
      <xdr:row>8</xdr:row>
      <xdr:rowOff>38100</xdr:rowOff>
    </xdr:from>
    <xdr:to>
      <xdr:col>5</xdr:col>
      <xdr:colOff>161925</xdr:colOff>
      <xdr:row>13</xdr:row>
      <xdr:rowOff>85725</xdr:rowOff>
    </xdr:to>
    <xdr:sp macro="" textlink="'Sheet Design'!L118">
      <xdr:nvSpPr>
        <xdr:cNvPr id="6" name="Rectangle: Rounded Corners 5">
          <a:extLst>
            <a:ext uri="{FF2B5EF4-FFF2-40B4-BE49-F238E27FC236}">
              <a16:creationId xmlns:a16="http://schemas.microsoft.com/office/drawing/2014/main" id="{87056B1E-0511-FB90-8ABB-EA34692DD01F}"/>
            </a:ext>
          </a:extLst>
        </xdr:cNvPr>
        <xdr:cNvSpPr/>
      </xdr:nvSpPr>
      <xdr:spPr>
        <a:xfrm>
          <a:off x="1609725" y="1485900"/>
          <a:ext cx="1600200" cy="952500"/>
        </a:xfrm>
        <a:prstGeom prst="roundRect">
          <a:avLst/>
        </a:prstGeom>
        <a:noFill/>
        <a:ln>
          <a:solidFill>
            <a:schemeClr val="accent1">
              <a:shade val="1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nchorCtr="1"/>
        <a:lstStyle/>
        <a:p>
          <a:pPr algn="l"/>
          <a:fld id="{F9F93036-3637-4E46-96FC-2BE4178EF953}" type="TxLink">
            <a:rPr lang="en-US" sz="1100" b="0" i="0" u="none" strike="noStrike">
              <a:solidFill>
                <a:srgbClr val="000000"/>
              </a:solidFill>
              <a:latin typeface="Calibri"/>
              <a:ea typeface="Calibri"/>
              <a:cs typeface="Calibri"/>
            </a:rPr>
            <a:pPr algn="l"/>
            <a:t>2998</a:t>
          </a:fld>
          <a:endParaRPr lang="en-IN" sz="1100"/>
        </a:p>
      </xdr:txBody>
    </xdr:sp>
    <xdr:clientData/>
  </xdr:twoCellAnchor>
  <xdr:twoCellAnchor>
    <xdr:from>
      <xdr:col>6</xdr:col>
      <xdr:colOff>438150</xdr:colOff>
      <xdr:row>8</xdr:row>
      <xdr:rowOff>38100</xdr:rowOff>
    </xdr:from>
    <xdr:to>
      <xdr:col>9</xdr:col>
      <xdr:colOff>209550</xdr:colOff>
      <xdr:row>13</xdr:row>
      <xdr:rowOff>85725</xdr:rowOff>
    </xdr:to>
    <xdr:sp macro="" textlink="'Sheet Design'!K118">
      <xdr:nvSpPr>
        <xdr:cNvPr id="7" name="Rectangle: Rounded Corners 6">
          <a:extLst>
            <a:ext uri="{FF2B5EF4-FFF2-40B4-BE49-F238E27FC236}">
              <a16:creationId xmlns:a16="http://schemas.microsoft.com/office/drawing/2014/main" id="{ECAE0A19-2580-4D1B-AB3C-CF6A99D53E90}"/>
            </a:ext>
          </a:extLst>
        </xdr:cNvPr>
        <xdr:cNvSpPr/>
      </xdr:nvSpPr>
      <xdr:spPr>
        <a:xfrm>
          <a:off x="4095750" y="1485900"/>
          <a:ext cx="1600200" cy="952500"/>
        </a:xfrm>
        <a:prstGeom prst="roundRect">
          <a:avLst/>
        </a:prstGeom>
        <a:noFill/>
        <a:ln>
          <a:solidFill>
            <a:schemeClr val="accent1">
              <a:shade val="1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1" forceAA="0" compatLnSpc="1">
          <a:prstTxWarp prst="textNoShape">
            <a:avLst/>
          </a:prstTxWarp>
          <a:noAutofit/>
        </a:bodyPr>
        <a:lstStyle/>
        <a:p>
          <a:pPr marL="0" indent="0" algn="l"/>
          <a:fld id="{A6708205-49E1-40ED-BD0B-FB9B1C4A1FAF}" type="TxLink">
            <a:rPr lang="en-US" sz="1100" b="0" i="0" u="none" strike="noStrike">
              <a:solidFill>
                <a:srgbClr val="000000"/>
              </a:solidFill>
              <a:latin typeface="Calibri"/>
              <a:ea typeface="Calibri"/>
              <a:cs typeface="Calibri"/>
            </a:rPr>
            <a:pPr marL="0" indent="0" algn="l"/>
            <a:t>35578</a:t>
          </a:fld>
          <a:endParaRPr lang="en-IN" sz="1100" b="0" i="0" u="none" strike="noStrike">
            <a:solidFill>
              <a:srgbClr val="000000"/>
            </a:solidFill>
            <a:latin typeface="Calibri"/>
            <a:ea typeface="Calibri"/>
            <a:cs typeface="Calibri"/>
          </a:endParaRPr>
        </a:p>
      </xdr:txBody>
    </xdr:sp>
    <xdr:clientData/>
  </xdr:twoCellAnchor>
  <xdr:twoCellAnchor>
    <xdr:from>
      <xdr:col>10</xdr:col>
      <xdr:colOff>381000</xdr:colOff>
      <xdr:row>8</xdr:row>
      <xdr:rowOff>38100</xdr:rowOff>
    </xdr:from>
    <xdr:to>
      <xdr:col>13</xdr:col>
      <xdr:colOff>152400</xdr:colOff>
      <xdr:row>13</xdr:row>
      <xdr:rowOff>85725</xdr:rowOff>
    </xdr:to>
    <xdr:sp macro="" textlink="'Sheet Design'!M118">
      <xdr:nvSpPr>
        <xdr:cNvPr id="8" name="Rectangle: Rounded Corners 7">
          <a:extLst>
            <a:ext uri="{FF2B5EF4-FFF2-40B4-BE49-F238E27FC236}">
              <a16:creationId xmlns:a16="http://schemas.microsoft.com/office/drawing/2014/main" id="{A687E353-F5F7-468A-BFDC-359213714E33}"/>
            </a:ext>
          </a:extLst>
        </xdr:cNvPr>
        <xdr:cNvSpPr/>
      </xdr:nvSpPr>
      <xdr:spPr>
        <a:xfrm>
          <a:off x="6477000" y="1485900"/>
          <a:ext cx="1600200" cy="952500"/>
        </a:xfrm>
        <a:prstGeom prst="roundRect">
          <a:avLst/>
        </a:prstGeom>
        <a:noFill/>
        <a:ln>
          <a:solidFill>
            <a:schemeClr val="accent1">
              <a:shade val="1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1" forceAA="0" compatLnSpc="1">
          <a:prstTxWarp prst="textNoShape">
            <a:avLst/>
          </a:prstTxWarp>
          <a:noAutofit/>
        </a:bodyPr>
        <a:lstStyle/>
        <a:p>
          <a:pPr marL="0" indent="0" algn="l"/>
          <a:fld id="{9760033D-A009-4B4A-B351-642B1E3E741A}" type="TxLink">
            <a:rPr lang="en-US" sz="1100" b="0" i="0" u="none" strike="noStrike">
              <a:solidFill>
                <a:srgbClr val="000000"/>
              </a:solidFill>
              <a:latin typeface="Calibri"/>
              <a:ea typeface="Calibri"/>
              <a:cs typeface="Calibri"/>
            </a:rPr>
            <a:pPr marL="0" indent="0" algn="l"/>
            <a:t>7.77%</a:t>
          </a:fld>
          <a:endParaRPr lang="en-IN" sz="1100" b="0" i="0" u="none" strike="noStrike">
            <a:solidFill>
              <a:srgbClr val="000000"/>
            </a:solidFill>
            <a:latin typeface="Calibri"/>
            <a:ea typeface="Calibri"/>
            <a:cs typeface="Calibri"/>
          </a:endParaRPr>
        </a:p>
      </xdr:txBody>
    </xdr:sp>
    <xdr:clientData/>
  </xdr:twoCellAnchor>
  <xdr:twoCellAnchor>
    <xdr:from>
      <xdr:col>14</xdr:col>
      <xdr:colOff>371475</xdr:colOff>
      <xdr:row>8</xdr:row>
      <xdr:rowOff>38100</xdr:rowOff>
    </xdr:from>
    <xdr:to>
      <xdr:col>17</xdr:col>
      <xdr:colOff>142875</xdr:colOff>
      <xdr:row>13</xdr:row>
      <xdr:rowOff>85725</xdr:rowOff>
    </xdr:to>
    <xdr:sp macro="" textlink="'Sheet Design'!N118">
      <xdr:nvSpPr>
        <xdr:cNvPr id="9" name="Rectangle: Rounded Corners 8">
          <a:extLst>
            <a:ext uri="{FF2B5EF4-FFF2-40B4-BE49-F238E27FC236}">
              <a16:creationId xmlns:a16="http://schemas.microsoft.com/office/drawing/2014/main" id="{02FAF877-957C-413A-8206-5A8C5AECAD4A}"/>
            </a:ext>
          </a:extLst>
        </xdr:cNvPr>
        <xdr:cNvSpPr/>
      </xdr:nvSpPr>
      <xdr:spPr>
        <a:xfrm>
          <a:off x="8905875" y="1485900"/>
          <a:ext cx="1600200" cy="952500"/>
        </a:xfrm>
        <a:prstGeom prst="roundRect">
          <a:avLst/>
        </a:prstGeom>
        <a:noFill/>
        <a:ln>
          <a:solidFill>
            <a:schemeClr val="accent1">
              <a:shade val="1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1" forceAA="0" compatLnSpc="1">
          <a:prstTxWarp prst="textNoShape">
            <a:avLst/>
          </a:prstTxWarp>
          <a:noAutofit/>
        </a:bodyPr>
        <a:lstStyle/>
        <a:p>
          <a:pPr marL="0" indent="0" algn="l"/>
          <a:fld id="{6860B754-8CAB-4581-B458-AD4C34DA3D53}" type="TxLink">
            <a:rPr lang="en-US" sz="1100" b="0" i="0" u="none" strike="noStrike">
              <a:solidFill>
                <a:srgbClr val="000000"/>
              </a:solidFill>
              <a:latin typeface="Calibri"/>
              <a:ea typeface="Calibri"/>
              <a:cs typeface="Calibri"/>
            </a:rPr>
            <a:pPr marL="0" indent="0" algn="l"/>
            <a:t>89.26%</a:t>
          </a:fld>
          <a:endParaRPr lang="en-IN" sz="1100" b="0" i="0" u="none" strike="noStrike">
            <a:solidFill>
              <a:srgbClr val="000000"/>
            </a:solidFill>
            <a:latin typeface="Calibri"/>
            <a:ea typeface="Calibri"/>
            <a:cs typeface="Calibri"/>
          </a:endParaRPr>
        </a:p>
      </xdr:txBody>
    </xdr:sp>
    <xdr:clientData/>
  </xdr:twoCellAnchor>
  <xdr:oneCellAnchor>
    <xdr:from>
      <xdr:col>2</xdr:col>
      <xdr:colOff>390525</xdr:colOff>
      <xdr:row>8</xdr:row>
      <xdr:rowOff>129833</xdr:rowOff>
    </xdr:from>
    <xdr:ext cx="1676400" cy="569900"/>
    <xdr:sp macro="" textlink="">
      <xdr:nvSpPr>
        <xdr:cNvPr id="10" name="TextBox 9">
          <a:extLst>
            <a:ext uri="{FF2B5EF4-FFF2-40B4-BE49-F238E27FC236}">
              <a16:creationId xmlns:a16="http://schemas.microsoft.com/office/drawing/2014/main" id="{47335418-EF40-4F8C-8E89-CCF59EFA5874}"/>
            </a:ext>
          </a:extLst>
        </xdr:cNvPr>
        <xdr:cNvSpPr txBox="1"/>
      </xdr:nvSpPr>
      <xdr:spPr>
        <a:xfrm>
          <a:off x="1609725" y="1577633"/>
          <a:ext cx="1676400" cy="569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Potential</a:t>
          </a:r>
          <a:r>
            <a:rPr lang="en-IN" sz="14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 Fraud Loans</a:t>
          </a:r>
          <a:endPar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6</xdr:col>
      <xdr:colOff>438150</xdr:colOff>
      <xdr:row>8</xdr:row>
      <xdr:rowOff>153975</xdr:rowOff>
    </xdr:from>
    <xdr:ext cx="1676400" cy="331116"/>
    <xdr:sp macro="" textlink="">
      <xdr:nvSpPr>
        <xdr:cNvPr id="11" name="TextBox 10">
          <a:extLst>
            <a:ext uri="{FF2B5EF4-FFF2-40B4-BE49-F238E27FC236}">
              <a16:creationId xmlns:a16="http://schemas.microsoft.com/office/drawing/2014/main" id="{2F1F5D28-132D-4D43-A2BE-89DFE6307004}"/>
            </a:ext>
          </a:extLst>
        </xdr:cNvPr>
        <xdr:cNvSpPr txBox="1"/>
      </xdr:nvSpPr>
      <xdr:spPr>
        <a:xfrm>
          <a:off x="4095750" y="1601775"/>
          <a:ext cx="1676400" cy="3311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Clean Loans</a:t>
          </a:r>
          <a:endPar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10</xdr:col>
      <xdr:colOff>400050</xdr:colOff>
      <xdr:row>8</xdr:row>
      <xdr:rowOff>104775</xdr:rowOff>
    </xdr:from>
    <xdr:ext cx="1676400" cy="569900"/>
    <xdr:sp macro="" textlink="">
      <xdr:nvSpPr>
        <xdr:cNvPr id="12" name="TextBox 11">
          <a:extLst>
            <a:ext uri="{FF2B5EF4-FFF2-40B4-BE49-F238E27FC236}">
              <a16:creationId xmlns:a16="http://schemas.microsoft.com/office/drawing/2014/main" id="{A714EDAE-8977-4652-8864-C43C74AFA08D}"/>
            </a:ext>
          </a:extLst>
        </xdr:cNvPr>
        <xdr:cNvSpPr txBox="1"/>
      </xdr:nvSpPr>
      <xdr:spPr>
        <a:xfrm>
          <a:off x="6496050" y="1552575"/>
          <a:ext cx="1676400" cy="569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 Fraudulent Loans</a:t>
          </a:r>
          <a:endPar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14</xdr:col>
      <xdr:colOff>342900</xdr:colOff>
      <xdr:row>8</xdr:row>
      <xdr:rowOff>63158</xdr:rowOff>
    </xdr:from>
    <xdr:ext cx="1676400" cy="569900"/>
    <xdr:sp macro="" textlink="">
      <xdr:nvSpPr>
        <xdr:cNvPr id="13" name="TextBox 12">
          <a:extLst>
            <a:ext uri="{FF2B5EF4-FFF2-40B4-BE49-F238E27FC236}">
              <a16:creationId xmlns:a16="http://schemas.microsoft.com/office/drawing/2014/main" id="{07B47182-70C8-44AA-8A45-85A3EDB9EE3C}"/>
            </a:ext>
          </a:extLst>
        </xdr:cNvPr>
        <xdr:cNvSpPr txBox="1"/>
      </xdr:nvSpPr>
      <xdr:spPr>
        <a:xfrm>
          <a:off x="8877300" y="1510958"/>
          <a:ext cx="1676400" cy="569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Avg Repayment Efficiency</a:t>
          </a:r>
          <a:endPar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mc:AlternateContent xmlns:mc="http://schemas.openxmlformats.org/markup-compatibility/2006">
    <mc:Choice xmlns:a14="http://schemas.microsoft.com/office/drawing/2010/main" Requires="a14">
      <xdr:twoCellAnchor editAs="oneCell">
        <xdr:from>
          <xdr:col>2</xdr:col>
          <xdr:colOff>381001</xdr:colOff>
          <xdr:row>16</xdr:row>
          <xdr:rowOff>76200</xdr:rowOff>
        </xdr:from>
        <xdr:to>
          <xdr:col>10</xdr:col>
          <xdr:colOff>200024</xdr:colOff>
          <xdr:row>40</xdr:row>
          <xdr:rowOff>0</xdr:rowOff>
        </xdr:to>
        <xdr:pic>
          <xdr:nvPicPr>
            <xdr:cNvPr id="15" name="Picture 14">
              <a:extLst>
                <a:ext uri="{FF2B5EF4-FFF2-40B4-BE49-F238E27FC236}">
                  <a16:creationId xmlns:a16="http://schemas.microsoft.com/office/drawing/2014/main" id="{5499D96E-C0BA-1E57-B075-B835D5B06F18}"/>
                </a:ext>
              </a:extLst>
            </xdr:cNvPr>
            <xdr:cNvPicPr>
              <a:picLocks noChangeAspect="1" noChangeArrowheads="1"/>
              <a:extLst>
                <a:ext uri="{84589F7E-364E-4C9E-8A38-B11213B215E9}">
                  <a14:cameraTool cellRange="'Sheet Design'!$K$124:$O$145" spid="_x0000_s5221"/>
                </a:ext>
              </a:extLst>
            </xdr:cNvPicPr>
          </xdr:nvPicPr>
          <xdr:blipFill>
            <a:blip xmlns:r="http://schemas.openxmlformats.org/officeDocument/2006/relationships" r:embed="rId14"/>
            <a:srcRect/>
            <a:stretch>
              <a:fillRect/>
            </a:stretch>
          </xdr:blipFill>
          <xdr:spPr bwMode="auto">
            <a:xfrm>
              <a:off x="1600201" y="2971800"/>
              <a:ext cx="4695823" cy="42672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14</xdr:col>
      <xdr:colOff>552450</xdr:colOff>
      <xdr:row>0</xdr:row>
      <xdr:rowOff>95250</xdr:rowOff>
    </xdr:from>
    <xdr:to>
      <xdr:col>16</xdr:col>
      <xdr:colOff>561976</xdr:colOff>
      <xdr:row>6</xdr:row>
      <xdr:rowOff>133350</xdr:rowOff>
    </xdr:to>
    <mc:AlternateContent xmlns:mc="http://schemas.openxmlformats.org/markup-compatibility/2006" xmlns:a14="http://schemas.microsoft.com/office/drawing/2010/main">
      <mc:Choice Requires="a14">
        <xdr:graphicFrame macro="">
          <xdr:nvGraphicFramePr>
            <xdr:cNvPr id="17" name="address_state 2">
              <a:extLst>
                <a:ext uri="{FF2B5EF4-FFF2-40B4-BE49-F238E27FC236}">
                  <a16:creationId xmlns:a16="http://schemas.microsoft.com/office/drawing/2014/main" id="{307E15E9-5F4F-4493-BBAF-8366205B40DC}"/>
                </a:ext>
              </a:extLst>
            </xdr:cNvPr>
            <xdr:cNvGraphicFramePr/>
          </xdr:nvGraphicFramePr>
          <xdr:xfrm>
            <a:off x="0" y="0"/>
            <a:ext cx="0" cy="0"/>
          </xdr:xfrm>
          <a:graphic>
            <a:graphicData uri="http://schemas.microsoft.com/office/drawing/2010/slicer">
              <sle:slicer xmlns:sle="http://schemas.microsoft.com/office/drawing/2010/slicer" name="address_state 2"/>
            </a:graphicData>
          </a:graphic>
        </xdr:graphicFrame>
      </mc:Choice>
      <mc:Fallback xmlns="">
        <xdr:sp macro="" textlink="">
          <xdr:nvSpPr>
            <xdr:cNvPr id="0" name=""/>
            <xdr:cNvSpPr>
              <a:spLocks noTextEdit="1"/>
            </xdr:cNvSpPr>
          </xdr:nvSpPr>
          <xdr:spPr>
            <a:xfrm>
              <a:off x="9086850" y="95250"/>
              <a:ext cx="1228726" cy="11239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495300</xdr:colOff>
      <xdr:row>0</xdr:row>
      <xdr:rowOff>95251</xdr:rowOff>
    </xdr:from>
    <xdr:to>
      <xdr:col>22</xdr:col>
      <xdr:colOff>600075</xdr:colOff>
      <xdr:row>6</xdr:row>
      <xdr:rowOff>114300</xdr:rowOff>
    </xdr:to>
    <mc:AlternateContent xmlns:mc="http://schemas.openxmlformats.org/markup-compatibility/2006" xmlns:a14="http://schemas.microsoft.com/office/drawing/2010/main">
      <mc:Choice Requires="a14">
        <xdr:graphicFrame macro="">
          <xdr:nvGraphicFramePr>
            <xdr:cNvPr id="18" name="home_ownership 1">
              <a:extLst>
                <a:ext uri="{FF2B5EF4-FFF2-40B4-BE49-F238E27FC236}">
                  <a16:creationId xmlns:a16="http://schemas.microsoft.com/office/drawing/2014/main" id="{9C38382C-DF3C-4D60-866F-FCAB411E3992}"/>
                </a:ext>
              </a:extLst>
            </xdr:cNvPr>
            <xdr:cNvGraphicFramePr/>
          </xdr:nvGraphicFramePr>
          <xdr:xfrm>
            <a:off x="0" y="0"/>
            <a:ext cx="0" cy="0"/>
          </xdr:xfrm>
          <a:graphic>
            <a:graphicData uri="http://schemas.microsoft.com/office/drawing/2010/slicer">
              <sle:slicer xmlns:sle="http://schemas.microsoft.com/office/drawing/2010/slicer" name="home_ownership 1"/>
            </a:graphicData>
          </a:graphic>
        </xdr:graphicFrame>
      </mc:Choice>
      <mc:Fallback xmlns="">
        <xdr:sp macro="" textlink="">
          <xdr:nvSpPr>
            <xdr:cNvPr id="0" name=""/>
            <xdr:cNvSpPr>
              <a:spLocks noTextEdit="1"/>
            </xdr:cNvSpPr>
          </xdr:nvSpPr>
          <xdr:spPr>
            <a:xfrm>
              <a:off x="12687300" y="95251"/>
              <a:ext cx="1323975" cy="11048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0</xdr:colOff>
      <xdr:row>0</xdr:row>
      <xdr:rowOff>95250</xdr:rowOff>
    </xdr:from>
    <xdr:to>
      <xdr:col>18</xdr:col>
      <xdr:colOff>495300</xdr:colOff>
      <xdr:row>6</xdr:row>
      <xdr:rowOff>114600</xdr:rowOff>
    </xdr:to>
    <mc:AlternateContent xmlns:mc="http://schemas.openxmlformats.org/markup-compatibility/2006" xmlns:a14="http://schemas.microsoft.com/office/drawing/2010/main">
      <mc:Choice Requires="a14">
        <xdr:graphicFrame macro="">
          <xdr:nvGraphicFramePr>
            <xdr:cNvPr id="19" name="grade 1">
              <a:extLst>
                <a:ext uri="{FF2B5EF4-FFF2-40B4-BE49-F238E27FC236}">
                  <a16:creationId xmlns:a16="http://schemas.microsoft.com/office/drawing/2014/main" id="{825375D8-310E-49FC-9C8A-391DE0903103}"/>
                </a:ext>
              </a:extLst>
            </xdr:cNvPr>
            <xdr:cNvGraphicFramePr/>
          </xdr:nvGraphicFramePr>
          <xdr:xfrm>
            <a:off x="0" y="0"/>
            <a:ext cx="0" cy="0"/>
          </xdr:xfrm>
          <a:graphic>
            <a:graphicData uri="http://schemas.microsoft.com/office/drawing/2010/slicer">
              <sle:slicer xmlns:sle="http://schemas.microsoft.com/office/drawing/2010/slicer" name="grade 1"/>
            </a:graphicData>
          </a:graphic>
        </xdr:graphicFrame>
      </mc:Choice>
      <mc:Fallback xmlns="">
        <xdr:sp macro="" textlink="">
          <xdr:nvSpPr>
            <xdr:cNvPr id="0" name=""/>
            <xdr:cNvSpPr>
              <a:spLocks noTextEdit="1"/>
            </xdr:cNvSpPr>
          </xdr:nvSpPr>
          <xdr:spPr>
            <a:xfrm>
              <a:off x="10363200" y="95250"/>
              <a:ext cx="1104900" cy="1105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542925</xdr:colOff>
      <xdr:row>0</xdr:row>
      <xdr:rowOff>95250</xdr:rowOff>
    </xdr:from>
    <xdr:to>
      <xdr:col>20</xdr:col>
      <xdr:colOff>457200</xdr:colOff>
      <xdr:row>6</xdr:row>
      <xdr:rowOff>123825</xdr:rowOff>
    </xdr:to>
    <mc:AlternateContent xmlns:mc="http://schemas.openxmlformats.org/markup-compatibility/2006" xmlns:a14="http://schemas.microsoft.com/office/drawing/2010/main">
      <mc:Choice Requires="a14">
        <xdr:graphicFrame macro="">
          <xdr:nvGraphicFramePr>
            <xdr:cNvPr id="20" name="RiskFlag">
              <a:extLst>
                <a:ext uri="{FF2B5EF4-FFF2-40B4-BE49-F238E27FC236}">
                  <a16:creationId xmlns:a16="http://schemas.microsoft.com/office/drawing/2014/main" id="{DAEEE231-3813-420F-961B-21EA40808DF8}"/>
                </a:ext>
              </a:extLst>
            </xdr:cNvPr>
            <xdr:cNvGraphicFramePr/>
          </xdr:nvGraphicFramePr>
          <xdr:xfrm>
            <a:off x="0" y="0"/>
            <a:ext cx="0" cy="0"/>
          </xdr:xfrm>
          <a:graphic>
            <a:graphicData uri="http://schemas.microsoft.com/office/drawing/2010/slicer">
              <sle:slicer xmlns:sle="http://schemas.microsoft.com/office/drawing/2010/slicer" name="RiskFlag"/>
            </a:graphicData>
          </a:graphic>
        </xdr:graphicFrame>
      </mc:Choice>
      <mc:Fallback xmlns="">
        <xdr:sp macro="" textlink="">
          <xdr:nvSpPr>
            <xdr:cNvPr id="0" name=""/>
            <xdr:cNvSpPr>
              <a:spLocks noTextEdit="1"/>
            </xdr:cNvSpPr>
          </xdr:nvSpPr>
          <xdr:spPr>
            <a:xfrm>
              <a:off x="11515725" y="95250"/>
              <a:ext cx="1133475" cy="11144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47625</xdr:colOff>
      <xdr:row>28</xdr:row>
      <xdr:rowOff>0</xdr:rowOff>
    </xdr:from>
    <xdr:to>
      <xdr:col>17</xdr:col>
      <xdr:colOff>152400</xdr:colOff>
      <xdr:row>40</xdr:row>
      <xdr:rowOff>9525</xdr:rowOff>
    </xdr:to>
    <xdr:graphicFrame macro="">
      <xdr:nvGraphicFramePr>
        <xdr:cNvPr id="21" name="Chart 20">
          <a:extLst>
            <a:ext uri="{FF2B5EF4-FFF2-40B4-BE49-F238E27FC236}">
              <a16:creationId xmlns:a16="http://schemas.microsoft.com/office/drawing/2014/main" id="{EBE2D432-C3A3-4881-B72E-5AC18CD2EC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oneCellAnchor>
    <xdr:from>
      <xdr:col>20</xdr:col>
      <xdr:colOff>466725</xdr:colOff>
      <xdr:row>8</xdr:row>
      <xdr:rowOff>0</xdr:rowOff>
    </xdr:from>
    <xdr:ext cx="3088281" cy="264560"/>
    <xdr:sp macro="" textlink="">
      <xdr:nvSpPr>
        <xdr:cNvPr id="4" name="TextBox 3">
          <a:extLst>
            <a:ext uri="{FF2B5EF4-FFF2-40B4-BE49-F238E27FC236}">
              <a16:creationId xmlns:a16="http://schemas.microsoft.com/office/drawing/2014/main" id="{6ACC5740-D990-E823-E472-F6EBA303ED3D}"/>
            </a:ext>
          </a:extLst>
        </xdr:cNvPr>
        <xdr:cNvSpPr txBox="1"/>
      </xdr:nvSpPr>
      <xdr:spPr>
        <a:xfrm>
          <a:off x="12658725" y="1447800"/>
          <a:ext cx="308828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100">
              <a:solidFill>
                <a:srgbClr val="843C0C"/>
              </a:solidFill>
            </a:rPr>
            <a:t>POTENTIAL</a:t>
          </a:r>
          <a:r>
            <a:rPr lang="en-IN" sz="1100" baseline="0">
              <a:solidFill>
                <a:srgbClr val="843C0C"/>
              </a:solidFill>
            </a:rPr>
            <a:t> FRAUDS BASED ON GRADES OF STATES</a:t>
          </a:r>
          <a:endParaRPr lang="en-IN" sz="1100">
            <a:solidFill>
              <a:srgbClr val="843C0C"/>
            </a:solidFill>
          </a:endParaRPr>
        </a:p>
      </xdr:txBody>
    </xdr:sp>
    <xdr:clientData/>
  </xdr:oneCellAnchor>
  <xdr:twoCellAnchor>
    <xdr:from>
      <xdr:col>17</xdr:col>
      <xdr:colOff>285750</xdr:colOff>
      <xdr:row>8</xdr:row>
      <xdr:rowOff>28575</xdr:rowOff>
    </xdr:from>
    <xdr:to>
      <xdr:col>28</xdr:col>
      <xdr:colOff>590550</xdr:colOff>
      <xdr:row>40</xdr:row>
      <xdr:rowOff>19050</xdr:rowOff>
    </xdr:to>
    <xdr:sp macro="" textlink="">
      <xdr:nvSpPr>
        <xdr:cNvPr id="14" name="Rectangle 13">
          <a:extLst>
            <a:ext uri="{FF2B5EF4-FFF2-40B4-BE49-F238E27FC236}">
              <a16:creationId xmlns:a16="http://schemas.microsoft.com/office/drawing/2014/main" id="{03B2CF2D-24B2-2EBD-CC80-D6C76F0F6FDA}"/>
            </a:ext>
          </a:extLst>
        </xdr:cNvPr>
        <xdr:cNvSpPr/>
      </xdr:nvSpPr>
      <xdr:spPr>
        <a:xfrm>
          <a:off x="10648950" y="1476375"/>
          <a:ext cx="7010400" cy="5781675"/>
        </a:xfrm>
        <a:prstGeom prst="rect">
          <a:avLst/>
        </a:prstGeom>
        <a:noFill/>
        <a:ln>
          <a:solidFill>
            <a:schemeClr val="bg1">
              <a:lumMod val="8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2</xdr:col>
      <xdr:colOff>400050</xdr:colOff>
      <xdr:row>14</xdr:row>
      <xdr:rowOff>57150</xdr:rowOff>
    </xdr:from>
    <xdr:ext cx="4667250" cy="409575"/>
    <xdr:sp macro="" textlink="">
      <xdr:nvSpPr>
        <xdr:cNvPr id="16" name="TextBox 15">
          <a:extLst>
            <a:ext uri="{FF2B5EF4-FFF2-40B4-BE49-F238E27FC236}">
              <a16:creationId xmlns:a16="http://schemas.microsoft.com/office/drawing/2014/main" id="{1EC3C10A-EAB4-4347-8700-A05B727C7997}"/>
            </a:ext>
          </a:extLst>
        </xdr:cNvPr>
        <xdr:cNvSpPr txBox="1"/>
      </xdr:nvSpPr>
      <xdr:spPr>
        <a:xfrm>
          <a:off x="1619250" y="2590800"/>
          <a:ext cx="4667250" cy="409575"/>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en-IN" sz="105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Funded Loans - Borrowoer Exp, Fraud Detection &amp; Repayment Efficiency</a:t>
          </a:r>
          <a:endParaRPr lang="en-IN" sz="105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twoCellAnchor>
    <xdr:from>
      <xdr:col>2</xdr:col>
      <xdr:colOff>390525</xdr:colOff>
      <xdr:row>14</xdr:row>
      <xdr:rowOff>66675</xdr:rowOff>
    </xdr:from>
    <xdr:to>
      <xdr:col>10</xdr:col>
      <xdr:colOff>190500</xdr:colOff>
      <xdr:row>39</xdr:row>
      <xdr:rowOff>171449</xdr:rowOff>
    </xdr:to>
    <xdr:sp macro="" textlink="">
      <xdr:nvSpPr>
        <xdr:cNvPr id="22" name="Rectangle 21">
          <a:extLst>
            <a:ext uri="{FF2B5EF4-FFF2-40B4-BE49-F238E27FC236}">
              <a16:creationId xmlns:a16="http://schemas.microsoft.com/office/drawing/2014/main" id="{FE6F17BC-D7BB-4F24-95B0-57E1C021E32D}"/>
            </a:ext>
          </a:extLst>
        </xdr:cNvPr>
        <xdr:cNvSpPr/>
      </xdr:nvSpPr>
      <xdr:spPr>
        <a:xfrm>
          <a:off x="1609725" y="2600325"/>
          <a:ext cx="4676775" cy="4629149"/>
        </a:xfrm>
        <a:prstGeom prst="rect">
          <a:avLst/>
        </a:prstGeom>
        <a:noFill/>
        <a:ln>
          <a:solidFill>
            <a:schemeClr val="bg1">
              <a:lumMod val="8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12</xdr:col>
      <xdr:colOff>38100</xdr:colOff>
      <xdr:row>26</xdr:row>
      <xdr:rowOff>129285</xdr:rowOff>
    </xdr:from>
    <xdr:ext cx="2714626" cy="262892"/>
    <xdr:sp macro="" textlink="">
      <xdr:nvSpPr>
        <xdr:cNvPr id="40" name="TextBox 39">
          <a:extLst>
            <a:ext uri="{FF2B5EF4-FFF2-40B4-BE49-F238E27FC236}">
              <a16:creationId xmlns:a16="http://schemas.microsoft.com/office/drawing/2014/main" id="{94CCCE75-9EE8-49C0-A14E-61765175DAD6}"/>
            </a:ext>
          </a:extLst>
        </xdr:cNvPr>
        <xdr:cNvSpPr txBox="1"/>
      </xdr:nvSpPr>
      <xdr:spPr>
        <a:xfrm>
          <a:off x="7353300" y="4834635"/>
          <a:ext cx="2714626" cy="2628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0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Funded Loans - Potential Fraud Vs Clean</a:t>
          </a:r>
          <a:endParaRPr lang="en-IN" sz="10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twoCellAnchor>
    <xdr:from>
      <xdr:col>10</xdr:col>
      <xdr:colOff>514350</xdr:colOff>
      <xdr:row>26</xdr:row>
      <xdr:rowOff>123826</xdr:rowOff>
    </xdr:from>
    <xdr:to>
      <xdr:col>17</xdr:col>
      <xdr:colOff>152400</xdr:colOff>
      <xdr:row>40</xdr:row>
      <xdr:rowOff>19050</xdr:rowOff>
    </xdr:to>
    <xdr:sp macro="" textlink="">
      <xdr:nvSpPr>
        <xdr:cNvPr id="41" name="Rectangle 40">
          <a:extLst>
            <a:ext uri="{FF2B5EF4-FFF2-40B4-BE49-F238E27FC236}">
              <a16:creationId xmlns:a16="http://schemas.microsoft.com/office/drawing/2014/main" id="{52BABC02-90B3-4D62-B703-0CB24D7B26D1}"/>
            </a:ext>
          </a:extLst>
        </xdr:cNvPr>
        <xdr:cNvSpPr/>
      </xdr:nvSpPr>
      <xdr:spPr>
        <a:xfrm>
          <a:off x="6610350" y="4829176"/>
          <a:ext cx="3905250" cy="2428874"/>
        </a:xfrm>
        <a:prstGeom prst="rect">
          <a:avLst/>
        </a:prstGeom>
        <a:noFill/>
        <a:ln>
          <a:solidFill>
            <a:schemeClr val="bg1">
              <a:lumMod val="8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323850</xdr:colOff>
      <xdr:row>0</xdr:row>
      <xdr:rowOff>0</xdr:rowOff>
    </xdr:from>
    <xdr:to>
      <xdr:col>29</xdr:col>
      <xdr:colOff>66674</xdr:colOff>
      <xdr:row>7</xdr:row>
      <xdr:rowOff>58206</xdr:rowOff>
    </xdr:to>
    <xdr:sp macro="" textlink="">
      <xdr:nvSpPr>
        <xdr:cNvPr id="23" name="Rectangle: Top Corners Rounded 22">
          <a:extLst>
            <a:ext uri="{FF2B5EF4-FFF2-40B4-BE49-F238E27FC236}">
              <a16:creationId xmlns:a16="http://schemas.microsoft.com/office/drawing/2014/main" id="{9FAC6C02-F596-491A-A369-7E6B2552806D}"/>
            </a:ext>
          </a:extLst>
        </xdr:cNvPr>
        <xdr:cNvSpPr/>
      </xdr:nvSpPr>
      <xdr:spPr>
        <a:xfrm rot="10800000">
          <a:off x="1543050" y="0"/>
          <a:ext cx="16202024" cy="1362073"/>
        </a:xfrm>
        <a:prstGeom prst="round2SameRect">
          <a:avLst/>
        </a:prstGeom>
        <a:solidFill>
          <a:srgbClr val="F4F4F4">
            <a:alpha val="30000"/>
          </a:srgbClr>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42859</xdr:colOff>
      <xdr:row>7</xdr:row>
      <xdr:rowOff>138492</xdr:rowOff>
    </xdr:from>
    <xdr:to>
      <xdr:col>2</xdr:col>
      <xdr:colOff>261934</xdr:colOff>
      <xdr:row>40</xdr:row>
      <xdr:rowOff>8773</xdr:rowOff>
    </xdr:to>
    <xdr:sp macro="" textlink="">
      <xdr:nvSpPr>
        <xdr:cNvPr id="24" name="Rectangle: Top Corners Rounded 23">
          <a:extLst>
            <a:ext uri="{FF2B5EF4-FFF2-40B4-BE49-F238E27FC236}">
              <a16:creationId xmlns:a16="http://schemas.microsoft.com/office/drawing/2014/main" id="{29F48349-C838-453E-94A9-A6333B9D0B98}"/>
            </a:ext>
          </a:extLst>
        </xdr:cNvPr>
        <xdr:cNvSpPr/>
      </xdr:nvSpPr>
      <xdr:spPr>
        <a:xfrm rot="5400000">
          <a:off x="-2246544" y="3731762"/>
          <a:ext cx="6017081" cy="1438275"/>
        </a:xfrm>
        <a:prstGeom prst="round2SameRect">
          <a:avLst/>
        </a:prstGeom>
        <a:solidFill>
          <a:srgbClr val="F4F4F4">
            <a:alpha val="30000"/>
          </a:srgb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0</xdr:colOff>
      <xdr:row>0</xdr:row>
      <xdr:rowOff>19050</xdr:rowOff>
    </xdr:from>
    <xdr:to>
      <xdr:col>2</xdr:col>
      <xdr:colOff>228600</xdr:colOff>
      <xdr:row>7</xdr:row>
      <xdr:rowOff>86783</xdr:rowOff>
    </xdr:to>
    <xdr:sp macro="" textlink="">
      <xdr:nvSpPr>
        <xdr:cNvPr id="25" name="Rectangle 24">
          <a:extLst>
            <a:ext uri="{FF2B5EF4-FFF2-40B4-BE49-F238E27FC236}">
              <a16:creationId xmlns:a16="http://schemas.microsoft.com/office/drawing/2014/main" id="{A1EC2C18-2149-4FD0-837A-A858C42C8521}"/>
            </a:ext>
          </a:extLst>
        </xdr:cNvPr>
        <xdr:cNvSpPr/>
      </xdr:nvSpPr>
      <xdr:spPr>
        <a:xfrm>
          <a:off x="0" y="19050"/>
          <a:ext cx="1447800" cy="1371600"/>
        </a:xfrm>
        <a:prstGeom prst="rect">
          <a:avLst/>
        </a:prstGeom>
        <a:solidFill>
          <a:srgbClr val="F4F4F4">
            <a:alpha val="30000"/>
          </a:srgb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76200</xdr:colOff>
      <xdr:row>40</xdr:row>
      <xdr:rowOff>98576</xdr:rowOff>
    </xdr:from>
    <xdr:to>
      <xdr:col>29</xdr:col>
      <xdr:colOff>19050</xdr:colOff>
      <xdr:row>43</xdr:row>
      <xdr:rowOff>14665</xdr:rowOff>
    </xdr:to>
    <xdr:sp macro="" textlink="">
      <xdr:nvSpPr>
        <xdr:cNvPr id="26" name="Rectangle 25">
          <a:extLst>
            <a:ext uri="{FF2B5EF4-FFF2-40B4-BE49-F238E27FC236}">
              <a16:creationId xmlns:a16="http://schemas.microsoft.com/office/drawing/2014/main" id="{FB183C18-57F1-4523-A429-BCCC58730F29}"/>
            </a:ext>
          </a:extLst>
        </xdr:cNvPr>
        <xdr:cNvSpPr/>
      </xdr:nvSpPr>
      <xdr:spPr>
        <a:xfrm flipV="1">
          <a:off x="76200" y="7549243"/>
          <a:ext cx="17621250" cy="474889"/>
        </a:xfrm>
        <a:prstGeom prst="rect">
          <a:avLst/>
        </a:prstGeom>
        <a:solidFill>
          <a:schemeClr val="accent1">
            <a:alpha val="3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85724</xdr:colOff>
      <xdr:row>0</xdr:row>
      <xdr:rowOff>19050</xdr:rowOff>
    </xdr:from>
    <xdr:to>
      <xdr:col>2</xdr:col>
      <xdr:colOff>114299</xdr:colOff>
      <xdr:row>7</xdr:row>
      <xdr:rowOff>111663</xdr:rowOff>
    </xdr:to>
    <xdr:pic>
      <xdr:nvPicPr>
        <xdr:cNvPr id="27" name="Picture 26">
          <a:extLst>
            <a:ext uri="{FF2B5EF4-FFF2-40B4-BE49-F238E27FC236}">
              <a16:creationId xmlns:a16="http://schemas.microsoft.com/office/drawing/2014/main" id="{A9B82477-3BBD-4C59-A101-7A3E276B81F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76547" t="32905" r="7643" b="33639"/>
        <a:stretch/>
      </xdr:blipFill>
      <xdr:spPr>
        <a:xfrm>
          <a:off x="85724" y="19050"/>
          <a:ext cx="1247775" cy="1396480"/>
        </a:xfrm>
        <a:prstGeom prst="rect">
          <a:avLst/>
        </a:prstGeom>
        <a:effectLst>
          <a:outerShdw blurRad="50800" dist="38100" dir="5400000" algn="t" rotWithShape="0">
            <a:prstClr val="black">
              <a:alpha val="40000"/>
            </a:prstClr>
          </a:outerShdw>
        </a:effectLst>
      </xdr:spPr>
    </xdr:pic>
    <xdr:clientData/>
  </xdr:twoCellAnchor>
  <xdr:twoCellAnchor editAs="oneCell">
    <xdr:from>
      <xdr:col>0</xdr:col>
      <xdr:colOff>76200</xdr:colOff>
      <xdr:row>9</xdr:row>
      <xdr:rowOff>8166</xdr:rowOff>
    </xdr:from>
    <xdr:to>
      <xdr:col>2</xdr:col>
      <xdr:colOff>200025</xdr:colOff>
      <xdr:row>14</xdr:row>
      <xdr:rowOff>120500</xdr:rowOff>
    </xdr:to>
    <xdr:pic>
      <xdr:nvPicPr>
        <xdr:cNvPr id="28" name="Picture 27">
          <a:hlinkClick xmlns:r="http://schemas.openxmlformats.org/officeDocument/2006/relationships" r:id="rId2"/>
          <a:extLst>
            <a:ext uri="{FF2B5EF4-FFF2-40B4-BE49-F238E27FC236}">
              <a16:creationId xmlns:a16="http://schemas.microsoft.com/office/drawing/2014/main" id="{3F9532D8-88CA-48C1-B1FD-04ABCF7AB7B4}"/>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8786" t="20955" r="60000" b="52206"/>
        <a:stretch/>
      </xdr:blipFill>
      <xdr:spPr>
        <a:xfrm>
          <a:off x="76200" y="1684566"/>
          <a:ext cx="1343025" cy="1043667"/>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95250</xdr:colOff>
      <xdr:row>17</xdr:row>
      <xdr:rowOff>27064</xdr:rowOff>
    </xdr:from>
    <xdr:to>
      <xdr:col>2</xdr:col>
      <xdr:colOff>190500</xdr:colOff>
      <xdr:row>22</xdr:row>
      <xdr:rowOff>152445</xdr:rowOff>
    </xdr:to>
    <xdr:pic>
      <xdr:nvPicPr>
        <xdr:cNvPr id="29" name="Picture 28">
          <a:hlinkClick xmlns:r="http://schemas.openxmlformats.org/officeDocument/2006/relationships" r:id="rId4"/>
          <a:extLst>
            <a:ext uri="{FF2B5EF4-FFF2-40B4-BE49-F238E27FC236}">
              <a16:creationId xmlns:a16="http://schemas.microsoft.com/office/drawing/2014/main" id="{88CA4C3E-FFD4-4F0F-95C9-BA7BB4416F3E}"/>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3016" t="21324" r="27818" b="52206"/>
        <a:stretch/>
      </xdr:blipFill>
      <xdr:spPr>
        <a:xfrm>
          <a:off x="95250" y="3193597"/>
          <a:ext cx="1314450" cy="1056715"/>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76199</xdr:colOff>
      <xdr:row>24</xdr:row>
      <xdr:rowOff>146506</xdr:rowOff>
    </xdr:from>
    <xdr:to>
      <xdr:col>2</xdr:col>
      <xdr:colOff>228600</xdr:colOff>
      <xdr:row>30</xdr:row>
      <xdr:rowOff>158298</xdr:rowOff>
    </xdr:to>
    <xdr:pic>
      <xdr:nvPicPr>
        <xdr:cNvPr id="30" name="Picture 29">
          <a:hlinkClick xmlns:r="http://schemas.openxmlformats.org/officeDocument/2006/relationships" r:id="rId6"/>
          <a:extLst>
            <a:ext uri="{FF2B5EF4-FFF2-40B4-BE49-F238E27FC236}">
              <a16:creationId xmlns:a16="http://schemas.microsoft.com/office/drawing/2014/main" id="{BC7BEA8B-A4B5-4597-A78F-C056BEEF04FF}"/>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8088" t="50919" r="59296" b="21875"/>
        <a:stretch/>
      </xdr:blipFill>
      <xdr:spPr>
        <a:xfrm>
          <a:off x="76199" y="4616906"/>
          <a:ext cx="1371601" cy="1129392"/>
        </a:xfrm>
        <a:prstGeom prst="rect">
          <a:avLst/>
        </a:prstGeom>
        <a:effectLst>
          <a:outerShdw blurRad="50800" dist="38100" dir="2700000" algn="tl" rotWithShape="0">
            <a:prstClr val="black">
              <a:alpha val="40000"/>
            </a:prstClr>
          </a:outerShdw>
        </a:effectLst>
      </xdr:spPr>
    </xdr:pic>
    <xdr:clientData/>
  </xdr:twoCellAnchor>
  <xdr:twoCellAnchor editAs="oneCell">
    <xdr:from>
      <xdr:col>0</xdr:col>
      <xdr:colOff>104776</xdr:colOff>
      <xdr:row>32</xdr:row>
      <xdr:rowOff>184454</xdr:rowOff>
    </xdr:from>
    <xdr:to>
      <xdr:col>2</xdr:col>
      <xdr:colOff>180975</xdr:colOff>
      <xdr:row>39</xdr:row>
      <xdr:rowOff>9980</xdr:rowOff>
    </xdr:to>
    <xdr:pic>
      <xdr:nvPicPr>
        <xdr:cNvPr id="31" name="Picture 30">
          <a:hlinkClick xmlns:r="http://schemas.openxmlformats.org/officeDocument/2006/relationships" r:id="rId8"/>
          <a:extLst>
            <a:ext uri="{FF2B5EF4-FFF2-40B4-BE49-F238E27FC236}">
              <a16:creationId xmlns:a16="http://schemas.microsoft.com/office/drawing/2014/main" id="{1AC736BB-461E-4D64-9872-DA5345B4D26B}"/>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2524" t="51286" r="27819" b="22427"/>
        <a:stretch/>
      </xdr:blipFill>
      <xdr:spPr>
        <a:xfrm>
          <a:off x="104776" y="6144987"/>
          <a:ext cx="1295399" cy="1129393"/>
        </a:xfrm>
        <a:prstGeom prst="rect">
          <a:avLst/>
        </a:prstGeom>
        <a:effectLst>
          <a:outerShdw blurRad="50800" dist="38100" dir="2700000" algn="tl" rotWithShape="0">
            <a:prstClr val="black">
              <a:alpha val="40000"/>
            </a:prstClr>
          </a:outerShdw>
        </a:effectLst>
      </xdr:spPr>
    </xdr:pic>
    <xdr:clientData/>
  </xdr:twoCellAnchor>
  <xdr:oneCellAnchor>
    <xdr:from>
      <xdr:col>2</xdr:col>
      <xdr:colOff>542924</xdr:colOff>
      <xdr:row>1</xdr:row>
      <xdr:rowOff>55941</xdr:rowOff>
    </xdr:from>
    <xdr:ext cx="11249026" cy="501740"/>
    <xdr:sp macro="" textlink="">
      <xdr:nvSpPr>
        <xdr:cNvPr id="32" name="TextBox 31">
          <a:extLst>
            <a:ext uri="{FF2B5EF4-FFF2-40B4-BE49-F238E27FC236}">
              <a16:creationId xmlns:a16="http://schemas.microsoft.com/office/drawing/2014/main" id="{168F5764-7C3B-4046-9C56-F5C08A5C06E1}"/>
            </a:ext>
          </a:extLst>
        </xdr:cNvPr>
        <xdr:cNvSpPr txBox="1"/>
      </xdr:nvSpPr>
      <xdr:spPr>
        <a:xfrm>
          <a:off x="1762124" y="242208"/>
          <a:ext cx="11249026" cy="501740"/>
        </a:xfrm>
        <a:prstGeom prst="rect">
          <a:avLst/>
        </a:prstGeom>
        <a:noFill/>
        <a:effectLst>
          <a:outerShdw blurRad="50800" dist="38100" dir="8100000" algn="tr"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indent="0"/>
          <a:r>
            <a:rPr lang="en-IN" sz="2400" u="sng">
              <a:solidFill>
                <a:schemeClr val="tx1"/>
              </a:solidFill>
              <a:latin typeface="Segoe UI Semibold" panose="020B0702040204020203" pitchFamily="34" charset="0"/>
              <a:ea typeface="+mn-ea"/>
              <a:cs typeface="Segoe UI Semibold" panose="020B0702040204020203" pitchFamily="34" charset="0"/>
            </a:rPr>
            <a:t>Bank Loan Health Monitoring &amp; Predictive Insights</a:t>
          </a:r>
        </a:p>
      </xdr:txBody>
    </xdr:sp>
    <xdr:clientData/>
  </xdr:oneCellAnchor>
  <xdr:oneCellAnchor>
    <xdr:from>
      <xdr:col>3</xdr:col>
      <xdr:colOff>314325</xdr:colOff>
      <xdr:row>3</xdr:row>
      <xdr:rowOff>101147</xdr:rowOff>
    </xdr:from>
    <xdr:ext cx="6056145" cy="262892"/>
    <xdr:sp macro="" textlink="">
      <xdr:nvSpPr>
        <xdr:cNvPr id="33" name="TextBox 32">
          <a:extLst>
            <a:ext uri="{FF2B5EF4-FFF2-40B4-BE49-F238E27FC236}">
              <a16:creationId xmlns:a16="http://schemas.microsoft.com/office/drawing/2014/main" id="{EB22A7F3-9B7D-41E0-AB06-DF9BDD8B4E17}"/>
            </a:ext>
          </a:extLst>
        </xdr:cNvPr>
        <xdr:cNvSpPr txBox="1"/>
      </xdr:nvSpPr>
      <xdr:spPr>
        <a:xfrm>
          <a:off x="2143125" y="659947"/>
          <a:ext cx="6056145" cy="262892"/>
        </a:xfrm>
        <a:prstGeom prst="rect">
          <a:avLst/>
        </a:prstGeom>
        <a:noFill/>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1000">
              <a:latin typeface="Segoe UI Semibold" panose="020B0702040204020203" pitchFamily="34" charset="0"/>
              <a:cs typeface="Segoe UI Semibold" panose="020B0702040204020203" pitchFamily="34" charset="0"/>
            </a:rPr>
            <a:t>An end-to-end data-driven assessment of loan performance, borrower risk, and economic influences.</a:t>
          </a:r>
        </a:p>
      </xdr:txBody>
    </xdr:sp>
    <xdr:clientData/>
  </xdr:oneCellAnchor>
  <xdr:twoCellAnchor>
    <xdr:from>
      <xdr:col>23</xdr:col>
      <xdr:colOff>428623</xdr:colOff>
      <xdr:row>0</xdr:row>
      <xdr:rowOff>114300</xdr:rowOff>
    </xdr:from>
    <xdr:to>
      <xdr:col>28</xdr:col>
      <xdr:colOff>600068</xdr:colOff>
      <xdr:row>7</xdr:row>
      <xdr:rowOff>1055</xdr:rowOff>
    </xdr:to>
    <xdr:sp macro="" textlink="">
      <xdr:nvSpPr>
        <xdr:cNvPr id="34" name="Rectangle: Top Corners Rounded 33">
          <a:extLst>
            <a:ext uri="{FF2B5EF4-FFF2-40B4-BE49-F238E27FC236}">
              <a16:creationId xmlns:a16="http://schemas.microsoft.com/office/drawing/2014/main" id="{817D1A6B-B4DB-4976-A526-D9A4F7FBBF1D}"/>
            </a:ext>
          </a:extLst>
        </xdr:cNvPr>
        <xdr:cNvSpPr/>
      </xdr:nvSpPr>
      <xdr:spPr>
        <a:xfrm rot="10800000">
          <a:off x="14449423" y="114300"/>
          <a:ext cx="3219445" cy="1190622"/>
        </a:xfrm>
        <a:prstGeom prst="round2SameRect">
          <a:avLst/>
        </a:prstGeom>
        <a:solidFill>
          <a:schemeClr val="accent2"/>
        </a:solidFill>
        <a:ln>
          <a:noFill/>
        </a:ln>
        <a:effectLst>
          <a:outerShdw blurRad="50800" dist="50800" dir="60000" algn="ctr" rotWithShape="0">
            <a:srgbClr val="000000">
              <a:alpha val="43137"/>
            </a:srgb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vert="vert270" rtlCol="0" anchor="t" anchorCtr="0"/>
        <a:lstStyle/>
        <a:p>
          <a:pPr algn="l"/>
          <a:endParaRPr lang="en-IN" sz="1400">
            <a:effectLst>
              <a:outerShdw blurRad="50800" dist="50800" dir="600000" algn="ctr" rotWithShape="0">
                <a:srgbClr val="000000">
                  <a:alpha val="43137"/>
                </a:srgbClr>
              </a:outerShdw>
            </a:effectLst>
            <a:latin typeface="Segoe UI Semibold" panose="020B0702040204020203" pitchFamily="34" charset="0"/>
            <a:cs typeface="Segoe UI Semibold" panose="020B0702040204020203" pitchFamily="34" charset="0"/>
          </a:endParaRPr>
        </a:p>
      </xdr:txBody>
    </xdr:sp>
    <xdr:clientData/>
  </xdr:twoCellAnchor>
  <xdr:oneCellAnchor>
    <xdr:from>
      <xdr:col>23</xdr:col>
      <xdr:colOff>447675</xdr:colOff>
      <xdr:row>0</xdr:row>
      <xdr:rowOff>133445</xdr:rowOff>
    </xdr:from>
    <xdr:ext cx="2592697" cy="365228"/>
    <xdr:sp macro="" textlink="">
      <xdr:nvSpPr>
        <xdr:cNvPr id="35" name="TextBox 34">
          <a:extLst>
            <a:ext uri="{FF2B5EF4-FFF2-40B4-BE49-F238E27FC236}">
              <a16:creationId xmlns:a16="http://schemas.microsoft.com/office/drawing/2014/main" id="{9BE8D5EC-D7B5-4887-B800-038EDDEC3A31}"/>
            </a:ext>
          </a:extLst>
        </xdr:cNvPr>
        <xdr:cNvSpPr txBox="1"/>
      </xdr:nvSpPr>
      <xdr:spPr>
        <a:xfrm>
          <a:off x="14468475" y="133445"/>
          <a:ext cx="2592697" cy="365228"/>
        </a:xfrm>
        <a:prstGeom prst="rect">
          <a:avLst/>
        </a:prstGeom>
        <a:solidFill>
          <a:schemeClr val="accent2"/>
        </a:solidFill>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l"/>
          <a:r>
            <a:rPr lang="en-IN" sz="1600">
              <a:solidFill>
                <a:schemeClr val="bg1"/>
              </a:solidFill>
              <a:latin typeface="Segoe UI Semibold" panose="020B0702040204020203" pitchFamily="34" charset="0"/>
              <a:cs typeface="Segoe UI Semibold" panose="020B0702040204020203" pitchFamily="34" charset="0"/>
            </a:rPr>
            <a:t>Economic Impact Analysis</a:t>
          </a:r>
          <a:endParaRPr lang="en-IN" sz="1600">
            <a:solidFill>
              <a:schemeClr val="bg1"/>
            </a:solidFill>
            <a:effectLst>
              <a:outerShdw blurRad="50800" dist="38100" dir="8100000" algn="tr"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23</xdr:col>
      <xdr:colOff>466725</xdr:colOff>
      <xdr:row>2</xdr:row>
      <xdr:rowOff>54730</xdr:rowOff>
    </xdr:from>
    <xdr:ext cx="3133725" cy="695327"/>
    <xdr:sp macro="" textlink="">
      <xdr:nvSpPr>
        <xdr:cNvPr id="36" name="TextBox 35">
          <a:extLst>
            <a:ext uri="{FF2B5EF4-FFF2-40B4-BE49-F238E27FC236}">
              <a16:creationId xmlns:a16="http://schemas.microsoft.com/office/drawing/2014/main" id="{3BCE789A-58A9-4DA9-A262-6E0A3F60FEEA}"/>
            </a:ext>
          </a:extLst>
        </xdr:cNvPr>
        <xdr:cNvSpPr txBox="1"/>
      </xdr:nvSpPr>
      <xdr:spPr>
        <a:xfrm>
          <a:off x="14487525" y="416680"/>
          <a:ext cx="3133725" cy="6953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a:t>Evaluating the influence of state-wise unemployment rates on loan performance and defaults.</a:t>
          </a:r>
          <a:endParaRPr lang="en-IN" sz="1100"/>
        </a:p>
      </xdr:txBody>
    </xdr:sp>
    <xdr:clientData/>
  </xdr:oneCellAnchor>
  <xdr:twoCellAnchor editAs="oneCell">
    <xdr:from>
      <xdr:col>0</xdr:col>
      <xdr:colOff>152401</xdr:colOff>
      <xdr:row>40</xdr:row>
      <xdr:rowOff>136678</xdr:rowOff>
    </xdr:from>
    <xdr:to>
      <xdr:col>0</xdr:col>
      <xdr:colOff>514350</xdr:colOff>
      <xdr:row>42</xdr:row>
      <xdr:rowOff>134258</xdr:rowOff>
    </xdr:to>
    <xdr:pic>
      <xdr:nvPicPr>
        <xdr:cNvPr id="38" name="Picture 37">
          <a:extLst>
            <a:ext uri="{FF2B5EF4-FFF2-40B4-BE49-F238E27FC236}">
              <a16:creationId xmlns:a16="http://schemas.microsoft.com/office/drawing/2014/main" id="{C1CCED19-0D40-4E37-BD2F-F95C0F40C97F}"/>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52401" y="7587345"/>
          <a:ext cx="361949" cy="370113"/>
        </a:xfrm>
        <a:prstGeom prst="rect">
          <a:avLst/>
        </a:prstGeom>
        <a:effectLst>
          <a:outerShdw blurRad="50800" dist="38100" dir="2700000" algn="tl" rotWithShape="0">
            <a:prstClr val="black">
              <a:alpha val="40000"/>
            </a:prstClr>
          </a:outerShdw>
        </a:effectLst>
      </xdr:spPr>
    </xdr:pic>
    <xdr:clientData/>
  </xdr:twoCellAnchor>
  <xdr:twoCellAnchor>
    <xdr:from>
      <xdr:col>0</xdr:col>
      <xdr:colOff>104775</xdr:colOff>
      <xdr:row>32</xdr:row>
      <xdr:rowOff>161925</xdr:rowOff>
    </xdr:from>
    <xdr:to>
      <xdr:col>2</xdr:col>
      <xdr:colOff>238125</xdr:colOff>
      <xdr:row>39</xdr:row>
      <xdr:rowOff>9525</xdr:rowOff>
    </xdr:to>
    <xdr:sp macro="" textlink="">
      <xdr:nvSpPr>
        <xdr:cNvPr id="39" name="Rectangle: Rounded Corners 38">
          <a:extLst>
            <a:ext uri="{FF2B5EF4-FFF2-40B4-BE49-F238E27FC236}">
              <a16:creationId xmlns:a16="http://schemas.microsoft.com/office/drawing/2014/main" id="{8195AF5B-9571-4BE5-9837-2338BD898A86}"/>
            </a:ext>
          </a:extLst>
        </xdr:cNvPr>
        <xdr:cNvSpPr/>
      </xdr:nvSpPr>
      <xdr:spPr>
        <a:xfrm>
          <a:off x="104775" y="5953125"/>
          <a:ext cx="1352550" cy="1114425"/>
        </a:xfrm>
        <a:prstGeom prst="roundRect">
          <a:avLst/>
        </a:prstGeom>
        <a:solidFill>
          <a:schemeClr val="accent1">
            <a:alpha val="2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285750</xdr:colOff>
      <xdr:row>8</xdr:row>
      <xdr:rowOff>47625</xdr:rowOff>
    </xdr:from>
    <xdr:to>
      <xdr:col>13</xdr:col>
      <xdr:colOff>590550</xdr:colOff>
      <xdr:row>23</xdr:row>
      <xdr:rowOff>76200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F7B2B90-888E-4942-9C6C-5F9B2C5C7BB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3943350" y="1510665"/>
              <a:ext cx="4572000" cy="27717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15</xdr:col>
      <xdr:colOff>95250</xdr:colOff>
      <xdr:row>0</xdr:row>
      <xdr:rowOff>123825</xdr:rowOff>
    </xdr:from>
    <xdr:to>
      <xdr:col>17</xdr:col>
      <xdr:colOff>104776</xdr:colOff>
      <xdr:row>7</xdr:row>
      <xdr:rowOff>9525</xdr:rowOff>
    </xdr:to>
    <mc:AlternateContent xmlns:mc="http://schemas.openxmlformats.org/markup-compatibility/2006" xmlns:a14="http://schemas.microsoft.com/office/drawing/2010/main">
      <mc:Choice Requires="a14">
        <xdr:graphicFrame macro="">
          <xdr:nvGraphicFramePr>
            <xdr:cNvPr id="3" name="address_state 3">
              <a:extLst>
                <a:ext uri="{FF2B5EF4-FFF2-40B4-BE49-F238E27FC236}">
                  <a16:creationId xmlns:a16="http://schemas.microsoft.com/office/drawing/2014/main" id="{980DF7F9-3192-4815-B993-94883BD7AD13}"/>
                </a:ext>
              </a:extLst>
            </xdr:cNvPr>
            <xdr:cNvGraphicFramePr/>
          </xdr:nvGraphicFramePr>
          <xdr:xfrm>
            <a:off x="0" y="0"/>
            <a:ext cx="0" cy="0"/>
          </xdr:xfrm>
          <a:graphic>
            <a:graphicData uri="http://schemas.microsoft.com/office/drawing/2010/slicer">
              <sle:slicer xmlns:sle="http://schemas.microsoft.com/office/drawing/2010/slicer" name="address_state 3"/>
            </a:graphicData>
          </a:graphic>
        </xdr:graphicFrame>
      </mc:Choice>
      <mc:Fallback xmlns="">
        <xdr:sp macro="" textlink="">
          <xdr:nvSpPr>
            <xdr:cNvPr id="0" name=""/>
            <xdr:cNvSpPr>
              <a:spLocks noTextEdit="1"/>
            </xdr:cNvSpPr>
          </xdr:nvSpPr>
          <xdr:spPr>
            <a:xfrm>
              <a:off x="9239250" y="123825"/>
              <a:ext cx="1228726" cy="11525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209550</xdr:colOff>
      <xdr:row>0</xdr:row>
      <xdr:rowOff>114297</xdr:rowOff>
    </xdr:from>
    <xdr:to>
      <xdr:col>23</xdr:col>
      <xdr:colOff>365759</xdr:colOff>
      <xdr:row>6</xdr:row>
      <xdr:rowOff>161924</xdr:rowOff>
    </xdr:to>
    <mc:AlternateContent xmlns:mc="http://schemas.openxmlformats.org/markup-compatibility/2006" xmlns:tsle="http://schemas.microsoft.com/office/drawing/2012/timeslicer">
      <mc:Choice Requires="tsle">
        <xdr:graphicFrame macro="">
          <xdr:nvGraphicFramePr>
            <xdr:cNvPr id="4" name="issue_date">
              <a:extLst>
                <a:ext uri="{FF2B5EF4-FFF2-40B4-BE49-F238E27FC236}">
                  <a16:creationId xmlns:a16="http://schemas.microsoft.com/office/drawing/2014/main" id="{4E1E4374-44AC-4F68-BE67-70370D89EA9A}"/>
                </a:ext>
              </a:extLst>
            </xdr:cNvPr>
            <xdr:cNvGraphicFramePr/>
          </xdr:nvGraphicFramePr>
          <xdr:xfrm>
            <a:off x="0" y="0"/>
            <a:ext cx="0" cy="0"/>
          </xdr:xfrm>
          <a:graphic>
            <a:graphicData uri="http://schemas.microsoft.com/office/drawing/2012/timeslicer">
              <tsle:timeslicer name="issue_date"/>
            </a:graphicData>
          </a:graphic>
        </xdr:graphicFrame>
      </mc:Choice>
      <mc:Fallback xmlns="">
        <xdr:sp macro="" textlink="">
          <xdr:nvSpPr>
            <xdr:cNvPr id="0" name=""/>
            <xdr:cNvSpPr>
              <a:spLocks noTextEdit="1"/>
            </xdr:cNvSpPr>
          </xdr:nvSpPr>
          <xdr:spPr>
            <a:xfrm>
              <a:off x="12401550" y="114297"/>
              <a:ext cx="1985009" cy="1133477"/>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14</xdr:col>
      <xdr:colOff>161924</xdr:colOff>
      <xdr:row>8</xdr:row>
      <xdr:rowOff>76200</xdr:rowOff>
    </xdr:from>
    <xdr:to>
      <xdr:col>20</xdr:col>
      <xdr:colOff>476249</xdr:colOff>
      <xdr:row>23</xdr:row>
      <xdr:rowOff>95250</xdr:rowOff>
    </xdr:to>
    <xdr:graphicFrame macro="">
      <xdr:nvGraphicFramePr>
        <xdr:cNvPr id="5" name="Chart 4">
          <a:extLst>
            <a:ext uri="{FF2B5EF4-FFF2-40B4-BE49-F238E27FC236}">
              <a16:creationId xmlns:a16="http://schemas.microsoft.com/office/drawing/2014/main" id="{AC412AAF-8CCE-42EE-BE1C-6C3D5E4D2B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mc:AlternateContent xmlns:mc="http://schemas.openxmlformats.org/markup-compatibility/2006">
    <mc:Choice xmlns:a14="http://schemas.microsoft.com/office/drawing/2010/main" Requires="a14">
      <xdr:twoCellAnchor editAs="oneCell">
        <xdr:from>
          <xdr:col>21</xdr:col>
          <xdr:colOff>66674</xdr:colOff>
          <xdr:row>33</xdr:row>
          <xdr:rowOff>161925</xdr:rowOff>
        </xdr:from>
        <xdr:to>
          <xdr:col>29</xdr:col>
          <xdr:colOff>28575</xdr:colOff>
          <xdr:row>39</xdr:row>
          <xdr:rowOff>169545</xdr:rowOff>
        </xdr:to>
        <xdr:pic>
          <xdr:nvPicPr>
            <xdr:cNvPr id="7" name="Picture 6">
              <a:extLst>
                <a:ext uri="{FF2B5EF4-FFF2-40B4-BE49-F238E27FC236}">
                  <a16:creationId xmlns:a16="http://schemas.microsoft.com/office/drawing/2014/main" id="{95C1ADAF-E786-01AB-6BBF-BD8DC69074A2}"/>
                </a:ext>
              </a:extLst>
            </xdr:cNvPr>
            <xdr:cNvPicPr>
              <a:picLocks noChangeAspect="1" noChangeArrowheads="1"/>
              <a:extLst>
                <a:ext uri="{84589F7E-364E-4C9E-8A38-B11213B215E9}">
                  <a14:cameraTool cellRange="'Sheet Design'!$J$247:$P$252" spid="_x0000_s6209"/>
                </a:ext>
              </a:extLst>
            </xdr:cNvPicPr>
          </xdr:nvPicPr>
          <xdr:blipFill>
            <a:blip xmlns:r="http://schemas.openxmlformats.org/officeDocument/2006/relationships" r:embed="rId13"/>
            <a:srcRect/>
            <a:stretch>
              <a:fillRect/>
            </a:stretch>
          </xdr:blipFill>
          <xdr:spPr bwMode="auto">
            <a:xfrm>
              <a:off x="12868274" y="6134100"/>
              <a:ext cx="4838701" cy="1093470"/>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21</xdr:col>
          <xdr:colOff>66675</xdr:colOff>
          <xdr:row>26</xdr:row>
          <xdr:rowOff>28575</xdr:rowOff>
        </xdr:from>
        <xdr:to>
          <xdr:col>29</xdr:col>
          <xdr:colOff>28575</xdr:colOff>
          <xdr:row>32</xdr:row>
          <xdr:rowOff>36195</xdr:rowOff>
        </xdr:to>
        <xdr:pic>
          <xdr:nvPicPr>
            <xdr:cNvPr id="9" name="Picture 8">
              <a:extLst>
                <a:ext uri="{FF2B5EF4-FFF2-40B4-BE49-F238E27FC236}">
                  <a16:creationId xmlns:a16="http://schemas.microsoft.com/office/drawing/2014/main" id="{28ADE3E1-4492-9C6B-23DC-0B400AEB8B37}"/>
                </a:ext>
              </a:extLst>
            </xdr:cNvPr>
            <xdr:cNvPicPr>
              <a:picLocks noChangeAspect="1" noChangeArrowheads="1"/>
              <a:extLst>
                <a:ext uri="{84589F7E-364E-4C9E-8A38-B11213B215E9}">
                  <a14:cameraTool cellRange="'Sheet Design'!$J$255:$P$260" spid="_x0000_s6210"/>
                </a:ext>
              </a:extLst>
            </xdr:cNvPicPr>
          </xdr:nvPicPr>
          <xdr:blipFill>
            <a:blip xmlns:r="http://schemas.openxmlformats.org/officeDocument/2006/relationships" r:embed="rId14"/>
            <a:srcRect/>
            <a:stretch>
              <a:fillRect/>
            </a:stretch>
          </xdr:blipFill>
          <xdr:spPr bwMode="auto">
            <a:xfrm>
              <a:off x="12868275" y="4733925"/>
              <a:ext cx="4838700" cy="109347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17</xdr:col>
      <xdr:colOff>161925</xdr:colOff>
      <xdr:row>0</xdr:row>
      <xdr:rowOff>123826</xdr:rowOff>
    </xdr:from>
    <xdr:to>
      <xdr:col>20</xdr:col>
      <xdr:colOff>161925</xdr:colOff>
      <xdr:row>6</xdr:row>
      <xdr:rowOff>161926</xdr:rowOff>
    </xdr:to>
    <mc:AlternateContent xmlns:mc="http://schemas.openxmlformats.org/markup-compatibility/2006" xmlns:a14="http://schemas.microsoft.com/office/drawing/2010/main">
      <mc:Choice Requires="a14">
        <xdr:graphicFrame macro="">
          <xdr:nvGraphicFramePr>
            <xdr:cNvPr id="10" name="state_unemployment_flag">
              <a:extLst>
                <a:ext uri="{FF2B5EF4-FFF2-40B4-BE49-F238E27FC236}">
                  <a16:creationId xmlns:a16="http://schemas.microsoft.com/office/drawing/2014/main" id="{701F1E35-4B2D-411F-AD60-E6D1DDA31C38}"/>
                </a:ext>
              </a:extLst>
            </xdr:cNvPr>
            <xdr:cNvGraphicFramePr/>
          </xdr:nvGraphicFramePr>
          <xdr:xfrm>
            <a:off x="0" y="0"/>
            <a:ext cx="0" cy="0"/>
          </xdr:xfrm>
          <a:graphic>
            <a:graphicData uri="http://schemas.microsoft.com/office/drawing/2010/slicer">
              <sle:slicer xmlns:sle="http://schemas.microsoft.com/office/drawing/2010/slicer" name="state_unemployment_flag"/>
            </a:graphicData>
          </a:graphic>
        </xdr:graphicFrame>
      </mc:Choice>
      <mc:Fallback xmlns="">
        <xdr:sp macro="" textlink="">
          <xdr:nvSpPr>
            <xdr:cNvPr id="0" name=""/>
            <xdr:cNvSpPr>
              <a:spLocks noTextEdit="1"/>
            </xdr:cNvSpPr>
          </xdr:nvSpPr>
          <xdr:spPr>
            <a:xfrm>
              <a:off x="10525125" y="123826"/>
              <a:ext cx="1828800" cy="11239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21</xdr:col>
      <xdr:colOff>66676</xdr:colOff>
      <xdr:row>8</xdr:row>
      <xdr:rowOff>66676</xdr:rowOff>
    </xdr:from>
    <xdr:to>
      <xdr:col>29</xdr:col>
      <xdr:colOff>0</xdr:colOff>
      <xdr:row>23</xdr:row>
      <xdr:rowOff>95251</xdr:rowOff>
    </xdr:to>
    <xdr:graphicFrame macro="">
      <xdr:nvGraphicFramePr>
        <xdr:cNvPr id="11" name="Chart 10">
          <a:extLst>
            <a:ext uri="{FF2B5EF4-FFF2-40B4-BE49-F238E27FC236}">
              <a16:creationId xmlns:a16="http://schemas.microsoft.com/office/drawing/2014/main" id="{6A57C077-7229-4086-BC08-1EE3DD71AC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3</xdr:col>
      <xdr:colOff>19051</xdr:colOff>
      <xdr:row>24</xdr:row>
      <xdr:rowOff>104774</xdr:rowOff>
    </xdr:from>
    <xdr:to>
      <xdr:col>14</xdr:col>
      <xdr:colOff>1</xdr:colOff>
      <xdr:row>40</xdr:row>
      <xdr:rowOff>19050</xdr:rowOff>
    </xdr:to>
    <xdr:graphicFrame macro="">
      <xdr:nvGraphicFramePr>
        <xdr:cNvPr id="12" name="Chart 11">
          <a:extLst>
            <a:ext uri="{FF2B5EF4-FFF2-40B4-BE49-F238E27FC236}">
              <a16:creationId xmlns:a16="http://schemas.microsoft.com/office/drawing/2014/main" id="{6DF47D31-E9A0-404E-B220-9DBD775E95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3</xdr:col>
      <xdr:colOff>47625</xdr:colOff>
      <xdr:row>19</xdr:row>
      <xdr:rowOff>0</xdr:rowOff>
    </xdr:from>
    <xdr:to>
      <xdr:col>6</xdr:col>
      <xdr:colOff>123825</xdr:colOff>
      <xdr:row>23</xdr:row>
      <xdr:rowOff>104775</xdr:rowOff>
    </xdr:to>
    <xdr:sp macro="" textlink="'Sheet Design'!K265">
      <xdr:nvSpPr>
        <xdr:cNvPr id="13" name="Rectangle: Rounded Corners 12">
          <a:extLst>
            <a:ext uri="{FF2B5EF4-FFF2-40B4-BE49-F238E27FC236}">
              <a16:creationId xmlns:a16="http://schemas.microsoft.com/office/drawing/2014/main" id="{9B197E8C-294E-4C91-ABBA-CDE19611CB91}"/>
            </a:ext>
          </a:extLst>
        </xdr:cNvPr>
        <xdr:cNvSpPr/>
      </xdr:nvSpPr>
      <xdr:spPr>
        <a:xfrm>
          <a:off x="1876425" y="3438525"/>
          <a:ext cx="1905000" cy="828675"/>
        </a:xfrm>
        <a:prstGeom prst="roundRect">
          <a:avLst/>
        </a:prstGeom>
        <a:noFill/>
        <a:ln>
          <a:solidFill>
            <a:schemeClr val="accent1">
              <a:shade val="1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nchorCtr="1"/>
        <a:lstStyle/>
        <a:p>
          <a:pPr algn="l"/>
          <a:fld id="{4EFFB86F-CD20-41D6-97C7-5AF8291E9E5C}" type="TxLink">
            <a:rPr lang="en-US" sz="1600" b="0" i="0" u="none" strike="noStrike">
              <a:solidFill>
                <a:srgbClr val="000000"/>
              </a:solidFill>
              <a:latin typeface="Calibri"/>
              <a:ea typeface="Calibri"/>
              <a:cs typeface="Calibri"/>
            </a:rPr>
            <a:pPr algn="l"/>
            <a:t>$69.6K</a:t>
          </a:fld>
          <a:endParaRPr lang="en-IN" sz="1600"/>
        </a:p>
      </xdr:txBody>
    </xdr:sp>
    <xdr:clientData/>
  </xdr:twoCellAnchor>
  <xdr:oneCellAnchor>
    <xdr:from>
      <xdr:col>3</xdr:col>
      <xdr:colOff>133349</xdr:colOff>
      <xdr:row>19</xdr:row>
      <xdr:rowOff>58725</xdr:rowOff>
    </xdr:from>
    <xdr:ext cx="1866901" cy="331116"/>
    <xdr:sp macro="" textlink="">
      <xdr:nvSpPr>
        <xdr:cNvPr id="15" name="TextBox 14">
          <a:extLst>
            <a:ext uri="{FF2B5EF4-FFF2-40B4-BE49-F238E27FC236}">
              <a16:creationId xmlns:a16="http://schemas.microsoft.com/office/drawing/2014/main" id="{D83E2ADF-104E-4A3E-9CFC-EADB8D5EB8C6}"/>
            </a:ext>
          </a:extLst>
        </xdr:cNvPr>
        <xdr:cNvSpPr txBox="1"/>
      </xdr:nvSpPr>
      <xdr:spPr>
        <a:xfrm>
          <a:off x="1962149" y="3497250"/>
          <a:ext cx="1866901" cy="3311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Avg</a:t>
          </a:r>
          <a:r>
            <a:rPr lang="en-IN" sz="14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 Annual Income</a:t>
          </a:r>
          <a:endPar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3</xdr:col>
      <xdr:colOff>152400</xdr:colOff>
      <xdr:row>8</xdr:row>
      <xdr:rowOff>125742</xdr:rowOff>
    </xdr:from>
    <xdr:ext cx="1771650" cy="331116"/>
    <xdr:sp macro="" textlink="">
      <xdr:nvSpPr>
        <xdr:cNvPr id="16" name="TextBox 15">
          <a:extLst>
            <a:ext uri="{FF2B5EF4-FFF2-40B4-BE49-F238E27FC236}">
              <a16:creationId xmlns:a16="http://schemas.microsoft.com/office/drawing/2014/main" id="{7EC77FBA-7E1A-49B6-BC48-29DC4FE5E337}"/>
            </a:ext>
          </a:extLst>
        </xdr:cNvPr>
        <xdr:cNvSpPr txBox="1"/>
      </xdr:nvSpPr>
      <xdr:spPr>
        <a:xfrm>
          <a:off x="1981200" y="1573542"/>
          <a:ext cx="1771650" cy="3311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Avg Loan Amount</a:t>
          </a:r>
          <a:endPar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twoCellAnchor>
    <xdr:from>
      <xdr:col>3</xdr:col>
      <xdr:colOff>38100</xdr:colOff>
      <xdr:row>8</xdr:row>
      <xdr:rowOff>47625</xdr:rowOff>
    </xdr:from>
    <xdr:to>
      <xdr:col>6</xdr:col>
      <xdr:colOff>113700</xdr:colOff>
      <xdr:row>12</xdr:row>
      <xdr:rowOff>171450</xdr:rowOff>
    </xdr:to>
    <xdr:sp macro="" textlink="'Sheet Design'!L265">
      <xdr:nvSpPr>
        <xdr:cNvPr id="18" name="Rectangle: Rounded Corners 17">
          <a:extLst>
            <a:ext uri="{FF2B5EF4-FFF2-40B4-BE49-F238E27FC236}">
              <a16:creationId xmlns:a16="http://schemas.microsoft.com/office/drawing/2014/main" id="{8D0CA6FB-AF3F-4F9F-ADA0-953FC3AD7F52}"/>
            </a:ext>
          </a:extLst>
        </xdr:cNvPr>
        <xdr:cNvSpPr/>
      </xdr:nvSpPr>
      <xdr:spPr>
        <a:xfrm>
          <a:off x="1866900" y="1495425"/>
          <a:ext cx="1904400" cy="847725"/>
        </a:xfrm>
        <a:prstGeom prst="roundRect">
          <a:avLst/>
        </a:prstGeom>
        <a:noFill/>
        <a:ln>
          <a:solidFill>
            <a:schemeClr val="accent1">
              <a:shade val="1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90000" rtlCol="0" anchor="b" anchorCtr="1"/>
        <a:lstStyle/>
        <a:p>
          <a:pPr algn="l"/>
          <a:fld id="{CA1B57AA-EC22-4312-9C06-DFE950995854}" type="TxLink">
            <a:rPr lang="en-US" sz="1600" b="0" i="0" u="none" strike="noStrike">
              <a:solidFill>
                <a:srgbClr val="000000"/>
              </a:solidFill>
              <a:latin typeface="Calibri"/>
              <a:ea typeface="Calibri"/>
              <a:cs typeface="Calibri"/>
            </a:rPr>
            <a:pPr algn="l"/>
            <a:t>$11.3K</a:t>
          </a:fld>
          <a:endParaRPr lang="en-IN" sz="1600"/>
        </a:p>
      </xdr:txBody>
    </xdr:sp>
    <xdr:clientData/>
  </xdr:twoCellAnchor>
  <xdr:twoCellAnchor>
    <xdr:from>
      <xdr:col>14</xdr:col>
      <xdr:colOff>171451</xdr:colOff>
      <xdr:row>24</xdr:row>
      <xdr:rowOff>104775</xdr:rowOff>
    </xdr:from>
    <xdr:to>
      <xdr:col>20</xdr:col>
      <xdr:colOff>485775</xdr:colOff>
      <xdr:row>40</xdr:row>
      <xdr:rowOff>28575</xdr:rowOff>
    </xdr:to>
    <mc:AlternateContent xmlns:mc="http://schemas.openxmlformats.org/markup-compatibility/2006">
      <mc:Choice xmlns:cx1="http://schemas.microsoft.com/office/drawing/2015/9/8/chartex" Requires="cx1">
        <xdr:graphicFrame macro="">
          <xdr:nvGraphicFramePr>
            <xdr:cNvPr id="19" name="Chart 18">
              <a:extLst>
                <a:ext uri="{FF2B5EF4-FFF2-40B4-BE49-F238E27FC236}">
                  <a16:creationId xmlns:a16="http://schemas.microsoft.com/office/drawing/2014/main" id="{07F5B299-8AF9-45CC-8258-AD86C484E20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8705851" y="4493895"/>
              <a:ext cx="3971924" cy="28498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57150</xdr:colOff>
      <xdr:row>13</xdr:row>
      <xdr:rowOff>114300</xdr:rowOff>
    </xdr:from>
    <xdr:to>
      <xdr:col>6</xdr:col>
      <xdr:colOff>132750</xdr:colOff>
      <xdr:row>18</xdr:row>
      <xdr:rowOff>57150</xdr:rowOff>
    </xdr:to>
    <xdr:sp macro="" textlink="'Sheet Design'!P265">
      <xdr:nvSpPr>
        <xdr:cNvPr id="6" name="Rectangle: Rounded Corners 5">
          <a:extLst>
            <a:ext uri="{FF2B5EF4-FFF2-40B4-BE49-F238E27FC236}">
              <a16:creationId xmlns:a16="http://schemas.microsoft.com/office/drawing/2014/main" id="{9C73B4E1-2605-47B6-BDCA-93C7CE1C4A99}"/>
            </a:ext>
          </a:extLst>
        </xdr:cNvPr>
        <xdr:cNvSpPr/>
      </xdr:nvSpPr>
      <xdr:spPr>
        <a:xfrm>
          <a:off x="1885950" y="2466975"/>
          <a:ext cx="1904400" cy="847725"/>
        </a:xfrm>
        <a:prstGeom prst="roundRect">
          <a:avLst/>
        </a:prstGeom>
        <a:noFill/>
        <a:ln>
          <a:solidFill>
            <a:schemeClr val="accent1">
              <a:shade val="1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nchorCtr="1"/>
        <a:lstStyle/>
        <a:p>
          <a:pPr algn="l"/>
          <a:fld id="{E56582EC-1D2B-4273-BC79-2749A6E34224}" type="TxLink">
            <a:rPr lang="en-US" sz="1600" b="0" i="0" u="none" strike="noStrike">
              <a:solidFill>
                <a:srgbClr val="000000"/>
              </a:solidFill>
              <a:latin typeface="Calibri"/>
              <a:ea typeface="Calibri"/>
              <a:cs typeface="Calibri"/>
            </a:rPr>
            <a:pPr algn="l"/>
            <a:t>13.33%</a:t>
          </a:fld>
          <a:endParaRPr lang="en-IN" sz="1600"/>
        </a:p>
      </xdr:txBody>
    </xdr:sp>
    <xdr:clientData/>
  </xdr:twoCellAnchor>
  <xdr:oneCellAnchor>
    <xdr:from>
      <xdr:col>3</xdr:col>
      <xdr:colOff>533400</xdr:colOff>
      <xdr:row>14</xdr:row>
      <xdr:rowOff>14617</xdr:rowOff>
    </xdr:from>
    <xdr:ext cx="1419225" cy="331116"/>
    <xdr:sp macro="" textlink="">
      <xdr:nvSpPr>
        <xdr:cNvPr id="8" name="TextBox 7">
          <a:extLst>
            <a:ext uri="{FF2B5EF4-FFF2-40B4-BE49-F238E27FC236}">
              <a16:creationId xmlns:a16="http://schemas.microsoft.com/office/drawing/2014/main" id="{EE1A2427-7E2B-4230-BD21-56470FF410ED}"/>
            </a:ext>
          </a:extLst>
        </xdr:cNvPr>
        <xdr:cNvSpPr txBox="1"/>
      </xdr:nvSpPr>
      <xdr:spPr>
        <a:xfrm>
          <a:off x="2362200" y="2548267"/>
          <a:ext cx="1419225" cy="3311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l"/>
          <a:r>
            <a:rPr lang="en-IN" sz="14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Avg DTI</a:t>
          </a:r>
          <a:endParaRPr lang="en-IN" sz="14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21</xdr:col>
      <xdr:colOff>66675</xdr:colOff>
      <xdr:row>32</xdr:row>
      <xdr:rowOff>83930</xdr:rowOff>
    </xdr:from>
    <xdr:ext cx="4829175" cy="297004"/>
    <xdr:sp macro="" textlink="">
      <xdr:nvSpPr>
        <xdr:cNvPr id="14" name="TextBox 13">
          <a:extLst>
            <a:ext uri="{FF2B5EF4-FFF2-40B4-BE49-F238E27FC236}">
              <a16:creationId xmlns:a16="http://schemas.microsoft.com/office/drawing/2014/main" id="{E2EB739F-055F-498C-837B-6B2B4C237431}"/>
            </a:ext>
          </a:extLst>
        </xdr:cNvPr>
        <xdr:cNvSpPr txBox="1"/>
      </xdr:nvSpPr>
      <xdr:spPr>
        <a:xfrm>
          <a:off x="12868275" y="5875130"/>
          <a:ext cx="4829175" cy="297004"/>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2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Bottom 5 States with Lowest Fraudulent %</a:t>
          </a:r>
          <a:endParaRPr lang="en-IN" sz="12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oneCellAnchor>
    <xdr:from>
      <xdr:col>21</xdr:col>
      <xdr:colOff>66675</xdr:colOff>
      <xdr:row>24</xdr:row>
      <xdr:rowOff>95250</xdr:rowOff>
    </xdr:from>
    <xdr:ext cx="4819650" cy="333375"/>
    <xdr:sp macro="" textlink="">
      <xdr:nvSpPr>
        <xdr:cNvPr id="17" name="TextBox 16">
          <a:extLst>
            <a:ext uri="{FF2B5EF4-FFF2-40B4-BE49-F238E27FC236}">
              <a16:creationId xmlns:a16="http://schemas.microsoft.com/office/drawing/2014/main" id="{C775F16E-595D-4F10-B6F9-7D5805B5BD5F}"/>
            </a:ext>
          </a:extLst>
        </xdr:cNvPr>
        <xdr:cNvSpPr txBox="1"/>
      </xdr:nvSpPr>
      <xdr:spPr>
        <a:xfrm>
          <a:off x="12868275" y="4438650"/>
          <a:ext cx="4819650" cy="333375"/>
        </a:xfrm>
        <a:prstGeom prst="rect">
          <a:avLst/>
        </a:prstGeom>
        <a:solidFill>
          <a:schemeClr val="accent4">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200" baseline="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rPr>
            <a:t>Top 5 States with Highest Fraudulent %</a:t>
          </a:r>
          <a:endParaRPr lang="en-IN" sz="1200">
            <a:solidFill>
              <a:schemeClr val="accent2">
                <a:lumMod val="50000"/>
              </a:schemeClr>
            </a:solidFill>
            <a:effectLst>
              <a:outerShdw blurRad="50800" dist="38100" dir="2700000" algn="tl" rotWithShape="0">
                <a:prstClr val="black">
                  <a:alpha val="40000"/>
                </a:prstClr>
              </a:outerShdw>
            </a:effectLst>
            <a:latin typeface="Segoe UI Semibold" panose="020B0702040204020203" pitchFamily="34" charset="0"/>
            <a:cs typeface="Segoe UI Semibold" panose="020B0702040204020203" pitchFamily="34" charset="0"/>
          </a:endParaRPr>
        </a:p>
      </xdr:txBody>
    </xdr:sp>
    <xdr:clientData/>
  </xdr:oneCellAnchor>
  <xdr:twoCellAnchor>
    <xdr:from>
      <xdr:col>21</xdr:col>
      <xdr:colOff>66675</xdr:colOff>
      <xdr:row>24</xdr:row>
      <xdr:rowOff>95251</xdr:rowOff>
    </xdr:from>
    <xdr:to>
      <xdr:col>29</xdr:col>
      <xdr:colOff>19050</xdr:colOff>
      <xdr:row>40</xdr:row>
      <xdr:rowOff>38101</xdr:rowOff>
    </xdr:to>
    <xdr:sp macro="" textlink="">
      <xdr:nvSpPr>
        <xdr:cNvPr id="20" name="Rectangle 19">
          <a:extLst>
            <a:ext uri="{FF2B5EF4-FFF2-40B4-BE49-F238E27FC236}">
              <a16:creationId xmlns:a16="http://schemas.microsoft.com/office/drawing/2014/main" id="{47AB590C-EAC9-4338-B9EC-A1FCA7FF221F}"/>
            </a:ext>
          </a:extLst>
        </xdr:cNvPr>
        <xdr:cNvSpPr/>
      </xdr:nvSpPr>
      <xdr:spPr>
        <a:xfrm>
          <a:off x="12868275" y="4438651"/>
          <a:ext cx="4829175" cy="2838450"/>
        </a:xfrm>
        <a:prstGeom prst="rect">
          <a:avLst/>
        </a:prstGeom>
        <a:noFill/>
        <a:ln>
          <a:solidFill>
            <a:schemeClr val="bg1">
              <a:lumMod val="85000"/>
            </a:schemeClr>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0</xdr:col>
      <xdr:colOff>114300</xdr:colOff>
      <xdr:row>41</xdr:row>
      <xdr:rowOff>38100</xdr:rowOff>
    </xdr:from>
    <xdr:ext cx="17592675" cy="264560"/>
    <xdr:sp macro="" textlink="">
      <xdr:nvSpPr>
        <xdr:cNvPr id="22" name="TextBox 21">
          <a:extLst>
            <a:ext uri="{FF2B5EF4-FFF2-40B4-BE49-F238E27FC236}">
              <a16:creationId xmlns:a16="http://schemas.microsoft.com/office/drawing/2014/main" id="{F655C073-C95F-4FC7-B084-7B429833FA5A}"/>
            </a:ext>
          </a:extLst>
        </xdr:cNvPr>
        <xdr:cNvSpPr txBox="1"/>
      </xdr:nvSpPr>
      <xdr:spPr>
        <a:xfrm>
          <a:off x="114300" y="7458075"/>
          <a:ext cx="1759267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100"/>
            <a:t>DTI - Debt to Income Ratio, Avg</a:t>
          </a:r>
          <a:r>
            <a:rPr lang="en-IN" sz="1100" baseline="0"/>
            <a:t> = Average, Amt = Amount, Inc = Income, Int Rate = Interest Rate, Exp  = Experience, Unemp = Unemployment</a:t>
          </a:r>
          <a:endParaRPr lang="en-IN" sz="1100"/>
        </a:p>
      </xdr:txBody>
    </xdr:sp>
    <xdr:clientData/>
  </xdr:oneCellAnchor>
</xdr:wsDr>
</file>

<file path=xl/drawings/drawing5.xml><?xml version="1.0" encoding="utf-8"?>
<xdr:wsDr xmlns:xdr="http://schemas.openxmlformats.org/drawingml/2006/spreadsheetDrawing" xmlns:a="http://schemas.openxmlformats.org/drawingml/2006/main">
  <xdr:twoCellAnchor>
    <xdr:from>
      <xdr:col>6</xdr:col>
      <xdr:colOff>199776</xdr:colOff>
      <xdr:row>21</xdr:row>
      <xdr:rowOff>107757</xdr:rowOff>
    </xdr:from>
    <xdr:to>
      <xdr:col>11</xdr:col>
      <xdr:colOff>866113</xdr:colOff>
      <xdr:row>33</xdr:row>
      <xdr:rowOff>159192</xdr:rowOff>
    </xdr:to>
    <xdr:graphicFrame macro="">
      <xdr:nvGraphicFramePr>
        <xdr:cNvPr id="4" name="Chart 3">
          <a:extLst>
            <a:ext uri="{FF2B5EF4-FFF2-40B4-BE49-F238E27FC236}">
              <a16:creationId xmlns:a16="http://schemas.microsoft.com/office/drawing/2014/main" id="{486221A5-698F-DACC-25FD-B99A0BFB9C2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59636</xdr:colOff>
      <xdr:row>8</xdr:row>
      <xdr:rowOff>9939</xdr:rowOff>
    </xdr:from>
    <xdr:to>
      <xdr:col>6</xdr:col>
      <xdr:colOff>397566</xdr:colOff>
      <xdr:row>17</xdr:row>
      <xdr:rowOff>46382</xdr:rowOff>
    </xdr:to>
    <xdr:graphicFrame macro="">
      <xdr:nvGraphicFramePr>
        <xdr:cNvPr id="15" name="Chart 14">
          <a:extLst>
            <a:ext uri="{FF2B5EF4-FFF2-40B4-BE49-F238E27FC236}">
              <a16:creationId xmlns:a16="http://schemas.microsoft.com/office/drawing/2014/main" id="{74F77625-4A4B-FE94-9FEB-02E07BFAD1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51765</xdr:colOff>
      <xdr:row>5</xdr:row>
      <xdr:rowOff>158610</xdr:rowOff>
    </xdr:from>
    <xdr:to>
      <xdr:col>9</xdr:col>
      <xdr:colOff>330228</xdr:colOff>
      <xdr:row>13</xdr:row>
      <xdr:rowOff>62534</xdr:rowOff>
    </xdr:to>
    <xdr:graphicFrame macro="">
      <xdr:nvGraphicFramePr>
        <xdr:cNvPr id="16" name="Chart 15">
          <a:extLst>
            <a:ext uri="{FF2B5EF4-FFF2-40B4-BE49-F238E27FC236}">
              <a16:creationId xmlns:a16="http://schemas.microsoft.com/office/drawing/2014/main" id="{CE43F80B-8D26-300A-6F22-5EE2B24711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50801</xdr:colOff>
      <xdr:row>37</xdr:row>
      <xdr:rowOff>148167</xdr:rowOff>
    </xdr:from>
    <xdr:to>
      <xdr:col>6</xdr:col>
      <xdr:colOff>609601</xdr:colOff>
      <xdr:row>52</xdr:row>
      <xdr:rowOff>97367</xdr:rowOff>
    </xdr:to>
    <xdr:graphicFrame macro="">
      <xdr:nvGraphicFramePr>
        <xdr:cNvPr id="2" name="Chart 1">
          <a:extLst>
            <a:ext uri="{FF2B5EF4-FFF2-40B4-BE49-F238E27FC236}">
              <a16:creationId xmlns:a16="http://schemas.microsoft.com/office/drawing/2014/main" id="{35EA7848-C581-E128-9726-B3FA555FFD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123825</xdr:colOff>
      <xdr:row>39</xdr:row>
      <xdr:rowOff>28575</xdr:rowOff>
    </xdr:from>
    <xdr:to>
      <xdr:col>17</xdr:col>
      <xdr:colOff>561975</xdr:colOff>
      <xdr:row>51</xdr:row>
      <xdr:rowOff>171450</xdr:rowOff>
    </xdr:to>
    <xdr:graphicFrame macro="">
      <xdr:nvGraphicFramePr>
        <xdr:cNvPr id="5" name="Chart 4">
          <a:extLst>
            <a:ext uri="{FF2B5EF4-FFF2-40B4-BE49-F238E27FC236}">
              <a16:creationId xmlns:a16="http://schemas.microsoft.com/office/drawing/2014/main" id="{FA3321AD-D095-8BB1-F198-52EBCBA8DC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38100</xdr:colOff>
      <xdr:row>53</xdr:row>
      <xdr:rowOff>142875</xdr:rowOff>
    </xdr:from>
    <xdr:to>
      <xdr:col>17</xdr:col>
      <xdr:colOff>447675</xdr:colOff>
      <xdr:row>68</xdr:row>
      <xdr:rowOff>171450</xdr:rowOff>
    </xdr:to>
    <xdr:graphicFrame macro="">
      <xdr:nvGraphicFramePr>
        <xdr:cNvPr id="7" name="Chart 6">
          <a:extLst>
            <a:ext uri="{FF2B5EF4-FFF2-40B4-BE49-F238E27FC236}">
              <a16:creationId xmlns:a16="http://schemas.microsoft.com/office/drawing/2014/main" id="{95C64A94-0F51-5E3B-687E-17A11D586C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76200</xdr:colOff>
      <xdr:row>54</xdr:row>
      <xdr:rowOff>171450</xdr:rowOff>
    </xdr:from>
    <xdr:to>
      <xdr:col>7</xdr:col>
      <xdr:colOff>95250</xdr:colOff>
      <xdr:row>64</xdr:row>
      <xdr:rowOff>0</xdr:rowOff>
    </xdr:to>
    <xdr:graphicFrame macro="">
      <xdr:nvGraphicFramePr>
        <xdr:cNvPr id="8" name="Chart 7">
          <a:extLst>
            <a:ext uri="{FF2B5EF4-FFF2-40B4-BE49-F238E27FC236}">
              <a16:creationId xmlns:a16="http://schemas.microsoft.com/office/drawing/2014/main" id="{E20668A1-6A9B-7B22-3B9B-6BF12FEC6C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xdr:col>
      <xdr:colOff>152401</xdr:colOff>
      <xdr:row>64</xdr:row>
      <xdr:rowOff>147638</xdr:rowOff>
    </xdr:from>
    <xdr:to>
      <xdr:col>10</xdr:col>
      <xdr:colOff>400051</xdr:colOff>
      <xdr:row>75</xdr:row>
      <xdr:rowOff>47625</xdr:rowOff>
    </xdr:to>
    <xdr:graphicFrame macro="">
      <xdr:nvGraphicFramePr>
        <xdr:cNvPr id="9" name="Chart 8">
          <a:extLst>
            <a:ext uri="{FF2B5EF4-FFF2-40B4-BE49-F238E27FC236}">
              <a16:creationId xmlns:a16="http://schemas.microsoft.com/office/drawing/2014/main" id="{B9B3F90D-D2D4-1B21-845E-E6239F6F41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12</xdr:col>
      <xdr:colOff>314325</xdr:colOff>
      <xdr:row>76</xdr:row>
      <xdr:rowOff>119063</xdr:rowOff>
    </xdr:from>
    <xdr:to>
      <xdr:col>18</xdr:col>
      <xdr:colOff>0</xdr:colOff>
      <xdr:row>91</xdr:row>
      <xdr:rowOff>147638</xdr:rowOff>
    </xdr:to>
    <xdr:graphicFrame macro="">
      <xdr:nvGraphicFramePr>
        <xdr:cNvPr id="10" name="Chart 9">
          <a:extLst>
            <a:ext uri="{FF2B5EF4-FFF2-40B4-BE49-F238E27FC236}">
              <a16:creationId xmlns:a16="http://schemas.microsoft.com/office/drawing/2014/main" id="{A3727462-A69F-38DB-EAED-A5D1CD1E47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xdr:col>
      <xdr:colOff>447675</xdr:colOff>
      <xdr:row>94</xdr:row>
      <xdr:rowOff>138113</xdr:rowOff>
    </xdr:from>
    <xdr:to>
      <xdr:col>7</xdr:col>
      <xdr:colOff>1019175</xdr:colOff>
      <xdr:row>109</xdr:row>
      <xdr:rowOff>166688</xdr:rowOff>
    </xdr:to>
    <xdr:graphicFrame macro="">
      <xdr:nvGraphicFramePr>
        <xdr:cNvPr id="3" name="Chart 2">
          <a:extLst>
            <a:ext uri="{FF2B5EF4-FFF2-40B4-BE49-F238E27FC236}">
              <a16:creationId xmlns:a16="http://schemas.microsoft.com/office/drawing/2014/main" id="{3AD0F54C-6EA9-8122-7306-ED51FEF120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57151</xdr:colOff>
      <xdr:row>95</xdr:row>
      <xdr:rowOff>171450</xdr:rowOff>
    </xdr:from>
    <xdr:to>
      <xdr:col>11</xdr:col>
      <xdr:colOff>1295400</xdr:colOff>
      <xdr:row>108</xdr:row>
      <xdr:rowOff>9525</xdr:rowOff>
    </xdr:to>
    <xdr:graphicFrame macro="">
      <xdr:nvGraphicFramePr>
        <xdr:cNvPr id="6" name="Chart 5">
          <a:extLst>
            <a:ext uri="{FF2B5EF4-FFF2-40B4-BE49-F238E27FC236}">
              <a16:creationId xmlns:a16="http://schemas.microsoft.com/office/drawing/2014/main" id="{68AE78BA-BA90-221F-BFA2-3E41573FFD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14</xdr:col>
      <xdr:colOff>200025</xdr:colOff>
      <xdr:row>95</xdr:row>
      <xdr:rowOff>161925</xdr:rowOff>
    </xdr:from>
    <xdr:to>
      <xdr:col>16</xdr:col>
      <xdr:colOff>1066800</xdr:colOff>
      <xdr:row>108</xdr:row>
      <xdr:rowOff>19050</xdr:rowOff>
    </xdr:to>
    <xdr:graphicFrame macro="">
      <xdr:nvGraphicFramePr>
        <xdr:cNvPr id="11" name="Chart 10">
          <a:extLst>
            <a:ext uri="{FF2B5EF4-FFF2-40B4-BE49-F238E27FC236}">
              <a16:creationId xmlns:a16="http://schemas.microsoft.com/office/drawing/2014/main" id="{AE77BF8C-79E8-FDFC-8259-7515BE9EE0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12</xdr:col>
      <xdr:colOff>704850</xdr:colOff>
      <xdr:row>204</xdr:row>
      <xdr:rowOff>33338</xdr:rowOff>
    </xdr:from>
    <xdr:to>
      <xdr:col>17</xdr:col>
      <xdr:colOff>200025</xdr:colOff>
      <xdr:row>219</xdr:row>
      <xdr:rowOff>61913</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EF2942B4-42C0-D86E-AA89-65FAFD7C8DB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16402050" y="37798058"/>
              <a:ext cx="3808095" cy="27717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1238250</xdr:colOff>
      <xdr:row>208</xdr:row>
      <xdr:rowOff>57150</xdr:rowOff>
    </xdr:from>
    <xdr:to>
      <xdr:col>9</xdr:col>
      <xdr:colOff>571500</xdr:colOff>
      <xdr:row>224</xdr:row>
      <xdr:rowOff>42863</xdr:rowOff>
    </xdr:to>
    <xdr:graphicFrame macro="">
      <xdr:nvGraphicFramePr>
        <xdr:cNvPr id="20" name="Chart 19">
          <a:extLst>
            <a:ext uri="{FF2B5EF4-FFF2-40B4-BE49-F238E27FC236}">
              <a16:creationId xmlns:a16="http://schemas.microsoft.com/office/drawing/2014/main" id="{0D34A7C4-8D97-5969-5699-C72D21E371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12</xdr:col>
      <xdr:colOff>28575</xdr:colOff>
      <xdr:row>227</xdr:row>
      <xdr:rowOff>57150</xdr:rowOff>
    </xdr:from>
    <xdr:to>
      <xdr:col>17</xdr:col>
      <xdr:colOff>190500</xdr:colOff>
      <xdr:row>240</xdr:row>
      <xdr:rowOff>161925</xdr:rowOff>
    </xdr:to>
    <xdr:graphicFrame macro="">
      <xdr:nvGraphicFramePr>
        <xdr:cNvPr id="18" name="Chart 17">
          <a:extLst>
            <a:ext uri="{FF2B5EF4-FFF2-40B4-BE49-F238E27FC236}">
              <a16:creationId xmlns:a16="http://schemas.microsoft.com/office/drawing/2014/main" id="{5220CFE8-02BA-E45C-E58A-B6A360DBCB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xdr:col>
      <xdr:colOff>152400</xdr:colOff>
      <xdr:row>231</xdr:row>
      <xdr:rowOff>90488</xdr:rowOff>
    </xdr:from>
    <xdr:to>
      <xdr:col>7</xdr:col>
      <xdr:colOff>1162050</xdr:colOff>
      <xdr:row>246</xdr:row>
      <xdr:rowOff>119063</xdr:rowOff>
    </xdr:to>
    <xdr:graphicFrame macro="">
      <xdr:nvGraphicFramePr>
        <xdr:cNvPr id="19" name="Chart 18">
          <a:extLst>
            <a:ext uri="{FF2B5EF4-FFF2-40B4-BE49-F238E27FC236}">
              <a16:creationId xmlns:a16="http://schemas.microsoft.com/office/drawing/2014/main" id="{01206EA5-DFFD-D523-F68D-AA1E124843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5</xdr:col>
      <xdr:colOff>638175</xdr:colOff>
      <xdr:row>278</xdr:row>
      <xdr:rowOff>61913</xdr:rowOff>
    </xdr:from>
    <xdr:to>
      <xdr:col>9</xdr:col>
      <xdr:colOff>28575</xdr:colOff>
      <xdr:row>293</xdr:row>
      <xdr:rowOff>90488</xdr:rowOff>
    </xdr:to>
    <mc:AlternateContent xmlns:mc="http://schemas.openxmlformats.org/markup-compatibility/2006">
      <mc:Choice xmlns:cx1="http://schemas.microsoft.com/office/drawing/2015/9/8/chartex" Requires="cx1">
        <xdr:graphicFrame macro="">
          <xdr:nvGraphicFramePr>
            <xdr:cNvPr id="22" name="Chart 21">
              <a:extLst>
                <a:ext uri="{FF2B5EF4-FFF2-40B4-BE49-F238E27FC236}">
                  <a16:creationId xmlns:a16="http://schemas.microsoft.com/office/drawing/2014/main" id="{3ED7ED5A-3B84-6CB5-D716-291DC22314C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7679055" y="51390233"/>
              <a:ext cx="4572000" cy="277177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6.507644560188" backgroundQuery="1" createdVersion="8" refreshedVersion="8" minRefreshableVersion="3" recordCount="0" supportSubquery="1" supportAdvancedDrill="1" xr:uid="{22AD5F06-B8C9-46D1-87C3-ADDE57522692}">
  <cacheSource type="external" connectionId="4"/>
  <cacheFields count="3">
    <cacheField name="[bank_loan_data].[address_state].[address_state]" caption="address_state" numFmtId="0" hierarchy="1" level="1">
      <sharedItems count="5">
        <s v="CA"/>
        <s v="FL"/>
        <s v="NJ"/>
        <s v="NY"/>
        <s v="TX"/>
      </sharedItems>
    </cacheField>
    <cacheField name="[Measures].[Total Disbursed Loans]" caption="Total Disbursed Loans" numFmtId="0" hierarchy="53" level="32767"/>
    <cacheField name="[bank_loan_data].[loan_status].[loan_status]" caption="loan_status" numFmtId="0" hierarchy="1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0"/>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0"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fieldsUsage count="2">
        <fieldUsage x="-1"/>
        <fieldUsage x="2"/>
      </fieldsUsage>
    </cacheHierarchy>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1"/>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4085648" backgroundQuery="1" createdVersion="8" refreshedVersion="8" minRefreshableVersion="3" recordCount="0" supportSubquery="1" supportAdvancedDrill="1" xr:uid="{47DB3991-701F-4BE8-8D90-9E201985682B}">
  <cacheSource type="external" connectionId="4"/>
  <cacheFields count="3">
    <cacheField name="[bank_loan_data].[borrower_experience_flag].[borrower_experience_flag]" caption="borrower_experience_flag" numFmtId="0" hierarchy="35" level="1">
      <sharedItems count="2">
        <s v="Experienced"/>
        <s v="New/Thin File"/>
      </sharedItems>
    </cacheField>
    <cacheField name="[Measures].[Total Disbursed Loans]" caption="Total Disbursed Loans" numFmtId="0" hierarchy="53"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2"/>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2" memberValueDatatype="130" unbalanced="0">
      <fieldsUsage count="2">
        <fieldUsage x="-1"/>
        <fieldUsage x="0"/>
      </fieldsUsage>
    </cacheHierarchy>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1"/>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43634259" backgroundQuery="1" createdVersion="8" refreshedVersion="8" minRefreshableVersion="3" recordCount="0" supportSubquery="1" supportAdvancedDrill="1" xr:uid="{564386A7-8247-4930-8E9F-93919F8CDEC5}">
  <cacheSource type="external" connectionId="4"/>
  <cacheFields count="10">
    <cacheField name="[Measures].[Total Disbursed Loans]" caption="Total Disbursed Loans" numFmtId="0" hierarchy="53" level="32767"/>
    <cacheField name="[bank_loan_data].[Loan Quality].[Loan Quality]" caption="Loan Quality" numFmtId="0" hierarchy="12" level="1">
      <sharedItems count="2">
        <s v="Bad Loan"/>
        <s v="Good Loan"/>
      </sharedItems>
    </cacheField>
    <cacheField name="[Measures].[Total Payment]" caption="Total Payment" numFmtId="0" hierarchy="52" level="32767"/>
    <cacheField name="[Measures].[Total Amount Disbursed]" caption="Total Amount Disbursed" numFmtId="0" hierarchy="54" level="32767"/>
    <cacheField name="[Measures].[Expected Loan Growth]" caption="Expected Loan Growth" numFmtId="0" hierarchy="50" level="32767"/>
    <cacheField name="[Measures].[Average of repayment_efficiency_ratio]" caption="Average of repayment_efficiency_ratio" numFmtId="0" hierarchy="84" level="32767"/>
    <cacheField name="[Measures].[% Fraud Loans]" caption="% Fraud Loans" numFmtId="0" hierarchy="58" level="32767"/>
    <cacheField name="[Measures].[Risk % Loans]" caption="Risk % Loans" numFmtId="0" hierarchy="63" level="32767"/>
    <cacheField name="[Measures].[expected total payment]" caption="expected total payment" numFmtId="0" hierarchy="51"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9"/>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2" memberValueDatatype="130" unbalanced="0">
      <fieldsUsage count="2">
        <fieldUsage x="-1"/>
        <fieldUsage x="1"/>
      </fieldsUsage>
    </cacheHierarchy>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oneField="1">
      <fieldsUsage count="1">
        <fieldUsage x="4"/>
      </fieldsUsage>
    </cacheHierarchy>
    <cacheHierarchy uniqueName="[Measures].[expected total payment]" caption="expected total payment" measure="1" displayFolder="" measureGroup="bank_loan_data" count="0" oneField="1">
      <fieldsUsage count="1">
        <fieldUsage x="8"/>
      </fieldsUsage>
    </cacheHierarchy>
    <cacheHierarchy uniqueName="[Measures].[Total Payment]" caption="Total Payment" measure="1" displayFolder="" measureGroup="bank_loan_data" count="0" oneField="1">
      <fieldsUsage count="1">
        <fieldUsage x="2"/>
      </fieldsUsage>
    </cacheHierarchy>
    <cacheHierarchy uniqueName="[Measures].[Total Disbursed Loans]" caption="Total Disbursed Loans" measure="1" displayFolder="" measureGroup="bank_loan_data" count="0" oneField="1">
      <fieldsUsage count="1">
        <fieldUsage x="0"/>
      </fieldsUsage>
    </cacheHierarchy>
    <cacheHierarchy uniqueName="[Measures].[Total Amount Disbursed]" caption="Total Amount Disbursed" measure="1" displayFolder="" measureGroup="bank_loan_data" count="0" oneField="1">
      <fieldsUsage count="1">
        <fieldUsage x="3"/>
      </fieldsUsage>
    </cacheHierarchy>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oneField="1">
      <fieldsUsage count="1">
        <fieldUsage x="6"/>
      </fieldsUsage>
    </cacheHierarchy>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oneField="1">
      <fieldsUsage count="1">
        <fieldUsage x="7"/>
      </fieldsUsage>
    </cacheHierarchy>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oneField="1" hidden="1">
      <fieldsUsage count="1">
        <fieldUsage x="5"/>
      </fieldsUsage>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47916669" backgroundQuery="1" createdVersion="8" refreshedVersion="8" minRefreshableVersion="3" recordCount="0" supportSubquery="1" supportAdvancedDrill="1" xr:uid="{D932B156-6A3D-4E91-9F54-1F4C67D407B4}">
  <cacheSource type="external" connectionId="4"/>
  <cacheFields count="5">
    <cacheField name="[bank_loan_data].[grade].[grade]" caption="grade" numFmtId="0" hierarchy="5" level="1">
      <sharedItems count="7">
        <s v="A"/>
        <s v="B"/>
        <s v="C"/>
        <s v="D"/>
        <s v="E"/>
        <s v="F"/>
        <s v="G"/>
      </sharedItems>
    </cacheField>
    <cacheField name="[bank_loan_data].[loan_status].[loan_status]" caption="loan_status" numFmtId="0" hierarchy="11" level="1">
      <sharedItems count="3">
        <s v="Charged Off"/>
        <s v="Current"/>
        <s v="Fully Paid"/>
      </sharedItems>
    </cacheField>
    <cacheField name="[bank_loan_data].[fraud_detection_flag].[fraud_detection_flag]" caption="fraud_detection_flag" numFmtId="0" hierarchy="32" level="1">
      <sharedItems count="2">
        <s v="Clean"/>
        <s v="Potential Fraud"/>
      </sharedItems>
    </cacheField>
    <cacheField name="[Measures].[Total Disbursed Loans]" caption="Total Disbursed Loans" numFmtId="0" hierarchy="53"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4"/>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fieldsUsage count="2">
        <fieldUsage x="-1"/>
        <fieldUsage x="1"/>
      </fieldsUsage>
    </cacheHierarchy>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2" memberValueDatatype="130" unbalanced="0">
      <fieldsUsage count="2">
        <fieldUsage x="-1"/>
        <fieldUsage x="2"/>
      </fieldsUsage>
    </cacheHierarchy>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3"/>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49305555" backgroundQuery="1" createdVersion="8" refreshedVersion="8" minRefreshableVersion="3" recordCount="0" supportSubquery="1" supportAdvancedDrill="1" xr:uid="{5697DC34-304E-48E1-AD7E-0D783A36332D}">
  <cacheSource type="external" connectionId="4"/>
  <cacheFields count="5">
    <cacheField name="[bank_loan_data].[grade].[grade]" caption="grade" numFmtId="0" hierarchy="5" level="1">
      <sharedItems count="7">
        <s v="A"/>
        <s v="B"/>
        <s v="C"/>
        <s v="D"/>
        <s v="E"/>
        <s v="F"/>
        <s v="G"/>
      </sharedItems>
    </cacheField>
    <cacheField name="[bank_loan_data].[home_ownership].[home_ownership]" caption="home_ownership" numFmtId="0" hierarchy="7" level="1">
      <sharedItems count="5">
        <s v="MORTGAGE"/>
        <s v="NONE"/>
        <s v="OTHER"/>
        <s v="OWN"/>
        <s v="RENT"/>
      </sharedItems>
    </cacheField>
    <cacheField name="[bank_loan_data].[fraud_detection_flag].[fraud_detection_flag]" caption="fraud_detection_flag" numFmtId="0" hierarchy="32" level="1">
      <sharedItems count="1">
        <s v="Potential Fraud"/>
      </sharedItems>
    </cacheField>
    <cacheField name="[Measures].[Total Disbursed Loans]" caption="Total Disbursed Loans" numFmtId="0" hierarchy="53"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4"/>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fieldsUsage count="2">
        <fieldUsage x="-1"/>
        <fieldUsage x="1"/>
      </fieldsUsage>
    </cacheHierarchy>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2" memberValueDatatype="130" unbalanced="0">
      <fieldsUsage count="2">
        <fieldUsage x="-1"/>
        <fieldUsage x="2"/>
      </fieldsUsage>
    </cacheHierarchy>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3"/>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50810187" backgroundQuery="1" createdVersion="8" refreshedVersion="8" minRefreshableVersion="3" recordCount="0" supportSubquery="1" supportAdvancedDrill="1" xr:uid="{D09B1379-13EA-4BB5-A841-2C0EC365CAFC}">
  <cacheSource type="external" connectionId="4"/>
  <cacheFields count="5">
    <cacheField name="[bank_loan_data].[grade].[grade]" caption="grade" numFmtId="0" hierarchy="5" level="1">
      <sharedItems count="7">
        <s v="A"/>
        <s v="B"/>
        <s v="C"/>
        <s v="D"/>
        <s v="E"/>
        <s v="F"/>
        <s v="G"/>
      </sharedItems>
    </cacheField>
    <cacheField name="[bank_loan_data].[home_ownership].[home_ownership]" caption="home_ownership" numFmtId="0" hierarchy="7" level="1">
      <sharedItems count="5">
        <s v="MORTGAGE"/>
        <s v="NONE"/>
        <s v="OTHER"/>
        <s v="OWN"/>
        <s v="RENT"/>
      </sharedItems>
    </cacheField>
    <cacheField name="[bank_loan_data].[fraud_detection_flag].[fraud_detection_flag]" caption="fraud_detection_flag" numFmtId="0" hierarchy="32" level="1">
      <sharedItems count="1">
        <s v="Clean"/>
      </sharedItems>
    </cacheField>
    <cacheField name="[Measures].[Total Disbursed Loans]" caption="Total Disbursed Loans" numFmtId="0" hierarchy="53"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4"/>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fieldsUsage count="2">
        <fieldUsage x="-1"/>
        <fieldUsage x="1"/>
      </fieldsUsage>
    </cacheHierarchy>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2" memberValueDatatype="130" unbalanced="0">
      <fieldsUsage count="2">
        <fieldUsage x="-1"/>
        <fieldUsage x="2"/>
      </fieldsUsage>
    </cacheHierarchy>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3"/>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52314818" backgroundQuery="1" createdVersion="8" refreshedVersion="8" minRefreshableVersion="3" recordCount="0" supportSubquery="1" supportAdvancedDrill="1" xr:uid="{4DB28A13-5D7E-4BDB-826E-78DF769B5458}">
  <cacheSource type="external" connectionId="4"/>
  <cacheFields count="4">
    <cacheField name="[bank_loan_data].[grade].[grade]" caption="grade" numFmtId="0" hierarchy="5" level="1">
      <sharedItems count="7">
        <s v="A"/>
        <s v="B"/>
        <s v="C"/>
        <s v="D"/>
        <s v="E"/>
        <s v="F"/>
        <s v="G"/>
      </sharedItems>
    </cacheField>
    <cacheField name="[bank_loan_data].[fraud_detection_flag].[fraud_detection_flag]" caption="fraud_detection_flag" numFmtId="0" hierarchy="32" level="1">
      <sharedItems count="1">
        <s v="Clean"/>
      </sharedItems>
    </cacheField>
    <cacheField name="[Measures].[Count of fraud_detection_flag]" caption="Count of fraud_detection_flag" numFmtId="0" hierarchy="77" level="32767"/>
    <cacheField name="[bank_loan_data].[address_state].[address_state]" caption="address_state" numFmtId="0" hierarchy="1" level="1">
      <sharedItems count="48">
        <s v="AK"/>
        <s v="AL"/>
        <s v="AR"/>
        <s v="AZ"/>
        <s v="CA"/>
        <s v="CO"/>
        <s v="CT"/>
        <s v="DC"/>
        <s v="DE"/>
        <s v="FL"/>
        <s v="GA"/>
        <s v="HI"/>
        <s v="ID"/>
        <s v="IL"/>
        <s v="IN"/>
        <s v="KS"/>
        <s v="KY"/>
        <s v="LA"/>
        <s v="MA"/>
        <s v="MD"/>
        <s v="ME"/>
        <s v="MI"/>
        <s v="MN"/>
        <s v="MO"/>
        <s v="MS"/>
        <s v="MT"/>
        <s v="NC"/>
        <s v="NH"/>
        <s v="NJ"/>
        <s v="NM"/>
        <s v="NV"/>
        <s v="NY"/>
        <s v="OH"/>
        <s v="OK"/>
        <s v="OR"/>
        <s v="PA"/>
        <s v="RI"/>
        <s v="SC"/>
        <s v="SD"/>
        <s v="TN"/>
        <s v="TX"/>
        <s v="UT"/>
        <s v="VA"/>
        <s v="VT"/>
        <s v="WA"/>
        <s v="WI"/>
        <s v="WV"/>
        <s v="WY"/>
      </sharedItems>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3"/>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2" memberValueDatatype="130" unbalanced="0">
      <fieldsUsage count="2">
        <fieldUsage x="-1"/>
        <fieldUsage x="1"/>
      </fieldsUsage>
    </cacheHierarchy>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oneField="1" hidden="1">
      <fieldsUsage count="1">
        <fieldUsage x="2"/>
      </fieldsUsage>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53703704" backgroundQuery="1" createdVersion="8" refreshedVersion="8" minRefreshableVersion="3" recordCount="0" supportSubquery="1" supportAdvancedDrill="1" xr:uid="{BB962EB7-BD15-4CE6-93A9-E7971D4ED761}">
  <cacheSource type="external" connectionId="4"/>
  <cacheFields count="6">
    <cacheField name="[bank_loan_data].[grade].[grade]" caption="grade" numFmtId="0" hierarchy="5" level="1">
      <sharedItems count="7">
        <s v="A"/>
        <s v="B"/>
        <s v="C"/>
        <s v="D"/>
        <s v="E"/>
        <s v="F"/>
        <s v="G"/>
      </sharedItems>
    </cacheField>
    <cacheField name="[Measures].[No. of Clean Loans]" caption="No. of Clean Loans" numFmtId="0" hierarchy="64" level="32767"/>
    <cacheField name="[Measures].[No. of Potential frauds]" caption="No. of Potential frauds" numFmtId="0" hierarchy="65" level="32767"/>
    <cacheField name="[Measures].[% Fraud Loans]" caption="% Fraud Loans" numFmtId="0" hierarchy="58" level="32767"/>
    <cacheField name="[Measures].[Average of repayment_efficiency_ratio]" caption="Average of repayment_efficiency_ratio" numFmtId="0" hierarchy="84"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5"/>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oneField="1">
      <fieldsUsage count="1">
        <fieldUsage x="3"/>
      </fieldsUsage>
    </cacheHierarchy>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oneField="1">
      <fieldsUsage count="1">
        <fieldUsage x="1"/>
      </fieldsUsage>
    </cacheHierarchy>
    <cacheHierarchy uniqueName="[Measures].[No. of Potential frauds]" caption="No. of Potential frauds" measure="1" displayFolder="" measureGroup="bank_loan_data" count="0" oneField="1">
      <fieldsUsage count="1">
        <fieldUsage x="2"/>
      </fieldsUsage>
    </cacheHierarchy>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oneField="1" hidden="1">
      <fieldsUsage count="1">
        <fieldUsage x="4"/>
      </fieldsUsage>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5509259" backgroundQuery="1" createdVersion="8" refreshedVersion="8" minRefreshableVersion="3" recordCount="0" supportSubquery="1" supportAdvancedDrill="1" xr:uid="{9368E6D3-7E5E-4F03-B5E0-12C7027FF4F6}">
  <cacheSource type="external" connectionId="4"/>
  <cacheFields count="9">
    <cacheField name="[bank_loan_data].[grade].[grade]" caption="grade" numFmtId="0" hierarchy="5" level="1">
      <sharedItems count="7">
        <s v="A"/>
        <s v="B"/>
        <s v="C"/>
        <s v="D"/>
        <s v="E"/>
        <s v="F"/>
        <s v="G"/>
      </sharedItems>
    </cacheField>
    <cacheField name="[bank_loan_data].[fraud_detection_flag].[fraud_detection_flag]" caption="fraud_detection_flag" numFmtId="0" hierarchy="32" level="1">
      <sharedItems count="2">
        <s v="Clean"/>
        <s v="Potential Fraud"/>
      </sharedItems>
    </cacheField>
    <cacheField name="[bank_loan_data].[borrower_experience_flag].[borrower_experience_flag]" caption="borrower_experience_flag" numFmtId="0" hierarchy="35" level="1">
      <sharedItems count="2">
        <s v="Experienced"/>
        <s v="New/Thin File"/>
      </sharedItems>
    </cacheField>
    <cacheField name="[bank_loan_data].[underpaid_loans_flag].[underpaid_loans_flag]" caption="underpaid_loans_flag" numFmtId="0" hierarchy="34" level="1">
      <sharedItems count="4">
        <s v="Active Repayment"/>
        <s v="Closed/Incomplete"/>
        <s v="Overpaid"/>
        <s v="Underpaid"/>
      </sharedItems>
    </cacheField>
    <cacheField name="[Measures].[Total Disbursed Loans]" caption="Total Disbursed Loans" numFmtId="0" hierarchy="53" level="32767"/>
    <cacheField name="[Measures].[Average of repayment_efficiency_ratio]" caption="Average of repayment_efficiency_ratio" numFmtId="0" hierarchy="84" level="32767"/>
    <cacheField name="[Measures].[No. of False ownership flags]" caption="No. of False ownership flags" numFmtId="0" hierarchy="66" level="32767"/>
    <cacheField name="[Measures].[Average of loan_amount]" caption="Average of loan_amount" numFmtId="0" hierarchy="89"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8"/>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2" memberValueDatatype="130" unbalanced="0">
      <fieldsUsage count="2">
        <fieldUsage x="-1"/>
        <fieldUsage x="1"/>
      </fieldsUsage>
    </cacheHierarchy>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2" memberValueDatatype="130" unbalanced="0">
      <fieldsUsage count="2">
        <fieldUsage x="-1"/>
        <fieldUsage x="3"/>
      </fieldsUsage>
    </cacheHierarchy>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2" memberValueDatatype="130" unbalanced="0">
      <fieldsUsage count="2">
        <fieldUsage x="-1"/>
        <fieldUsage x="2"/>
      </fieldsUsage>
    </cacheHierarchy>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4"/>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oneField="1">
      <fieldsUsage count="1">
        <fieldUsage x="6"/>
      </fieldsUsage>
    </cacheHierarchy>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oneField="1" hidden="1">
      <fieldsUsage count="1">
        <fieldUsage x="5"/>
      </fieldsUsage>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oneField="1" hidden="1">
      <fieldsUsage count="1">
        <fieldUsage x="7"/>
      </fieldsUsage>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57870368" backgroundQuery="1" createdVersion="8" refreshedVersion="8" minRefreshableVersion="3" recordCount="0" supportSubquery="1" supportAdvancedDrill="1" xr:uid="{F981C1D2-5165-4EC3-AA8C-D850462295E1}">
  <cacheSource type="external" connectionId="4"/>
  <cacheFields count="5">
    <cacheField name="[bank_loan_data].[grade].[grade]" caption="grade" numFmtId="0" hierarchy="5" level="1">
      <sharedItems count="7">
        <s v="A"/>
        <s v="B"/>
        <s v="C"/>
        <s v="D"/>
        <s v="E"/>
        <s v="F"/>
        <s v="G"/>
      </sharedItems>
    </cacheField>
    <cacheField name="[Measures].[Total Disbursed Loans]" caption="Total Disbursed Loans" numFmtId="0" hierarchy="53" level="32767"/>
    <cacheField name="[bank_loan_data].[issue_date (Month)].[issue_date (Month)]" caption="issue_date (Month)" numFmtId="0" hierarchy="27" level="1">
      <sharedItems count="12">
        <s v="Jan"/>
        <s v="Feb"/>
        <s v="Mar"/>
        <s v="Apr"/>
        <s v="May"/>
        <s v="Jun"/>
        <s v="Jul"/>
        <s v="Aug"/>
        <s v="Sep"/>
        <s v="Oct"/>
        <s v="Nov"/>
        <s v="Dec"/>
      </sharedItems>
    </cacheField>
    <cacheField name="[bank_loan_data].[state_unemployment_flag].[state_unemployment_flag]" caption="state_unemployment_flag" numFmtId="0" hierarchy="30" level="1">
      <sharedItems count="2">
        <s v="High Risk State"/>
        <s v="Low Risk State"/>
      </sharedItems>
    </cacheField>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2"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4"/>
      </fieldsUsage>
    </cacheHierarchy>
    <cacheHierarchy uniqueName="[bank_loan_data].[application_type]" caption="application_type" attribute="1" defaultMemberUniqueName="[bank_loan_data].[application_type].[All]" allUniqueName="[bank_loan_data].[application_type].[All]" dimensionUniqueName="[bank_loan_data]" displayFolder="" count="2" memberValueDatatype="130" unbalanced="0"/>
    <cacheHierarchy uniqueName="[bank_loan_data].[emp_length]" caption="emp_length" attribute="1" defaultMemberUniqueName="[bank_loan_data].[emp_length].[All]" allUniqueName="[bank_loan_data].[emp_length].[All]" dimensionUniqueName="[bank_loan_data]" displayFolder="" count="2" memberValueDatatype="130" unbalanced="0"/>
    <cacheHierarchy uniqueName="[bank_loan_data].[emp_title]" caption="emp_title" attribute="1" defaultMemberUniqueName="[bank_loan_data].[emp_title].[All]" allUniqueName="[bank_loan_data].[emp_title].[All]" dimensionUniqueName="[bank_loan_data]" displayFolder="" count="2"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2"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2"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2"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2"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2"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2" memberValueDatatype="7" unbalanced="0"/>
    <cacheHierarchy uniqueName="[bank_loan_data].[member_id]" caption="member_id" attribute="1" defaultMemberUniqueName="[bank_loan_data].[member_id].[All]" allUniqueName="[bank_loan_data].[member_id].[All]" dimensionUniqueName="[bank_loan_data]" displayFolder="" count="2" memberValueDatatype="20" unbalanced="0"/>
    <cacheHierarchy uniqueName="[bank_loan_data].[purpose]" caption="purpose" attribute="1" defaultMemberUniqueName="[bank_loan_data].[purpose].[All]" allUniqueName="[bank_loan_data].[purpose].[All]" dimensionUniqueName="[bank_loan_data]" displayFolder="" count="2"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2" memberValueDatatype="130" unbalanced="0"/>
    <cacheHierarchy uniqueName="[bank_loan_data].[term_months]" caption="term_months" attribute="1" defaultMemberUniqueName="[bank_loan_data].[term_months].[All]" allUniqueName="[bank_loan_data].[term_months].[All]" dimensionUniqueName="[bank_loan_data]" displayFolder="" count="2" memberValueDatatype="20" unbalanced="0"/>
    <cacheHierarchy uniqueName="[bank_loan_data].[annual_income]" caption="annual_income" attribute="1" defaultMemberUniqueName="[bank_loan_data].[annual_income].[All]" allUniqueName="[bank_loan_data].[annual_income].[All]" dimensionUniqueName="[bank_loan_data]" displayFolder="" count="2" memberValueDatatype="5" unbalanced="0"/>
    <cacheHierarchy uniqueName="[bank_loan_data].[dti]" caption="dti" attribute="1" defaultMemberUniqueName="[bank_loan_data].[dti].[All]" allUniqueName="[bank_loan_data].[dti].[All]" dimensionUniqueName="[bank_loan_data]" displayFolder="" count="2" memberValueDatatype="5" unbalanced="0"/>
    <cacheHierarchy uniqueName="[bank_loan_data].[installment]" caption="installment" attribute="1" defaultMemberUniqueName="[bank_loan_data].[installment].[All]" allUniqueName="[bank_loan_data].[installment].[All]" dimensionUniqueName="[bank_loan_data]" displayFolder="" count="2" memberValueDatatype="5" unbalanced="0"/>
    <cacheHierarchy uniqueName="[bank_loan_data].[int_rate]" caption="int_rate" attribute="1" defaultMemberUniqueName="[bank_loan_data].[int_rate].[All]" allUniqueName="[bank_loan_data].[int_rate].[All]" dimensionUniqueName="[bank_loan_data]" displayFolder="" count="2" memberValueDatatype="5" unbalanced="0"/>
    <cacheHierarchy uniqueName="[bank_loan_data].[loan_amount]" caption="loan_amount" attribute="1" defaultMemberUniqueName="[bank_loan_data].[loan_amount].[All]" allUniqueName="[bank_loan_data].[loan_amount].[All]" dimensionUniqueName="[bank_loan_data]" displayFolder="" count="2" memberValueDatatype="5" unbalanced="0"/>
    <cacheHierarchy uniqueName="[bank_loan_data].[total_acc]" caption="total_acc" attribute="1" defaultMemberUniqueName="[bank_loan_data].[total_acc].[All]" allUniqueName="[bank_loan_data].[total_acc].[All]" dimensionUniqueName="[bank_loan_data]" displayFolder="" count="2" memberValueDatatype="20" unbalanced="0"/>
    <cacheHierarchy uniqueName="[bank_loan_data].[total_payment]" caption="total_payment" attribute="1" defaultMemberUniqueName="[bank_loan_data].[total_payment].[All]" allUniqueName="[bank_loan_data].[total_payment].[All]" dimensionUniqueName="[bank_loan_data]" displayFolder="" count="2" memberValueDatatype="5" unbalanced="0"/>
    <cacheHierarchy uniqueName="[bank_loan_data].[DTI Flag]" caption="DTI Flag" attribute="1" defaultMemberUniqueName="[bank_loan_data].[DTI Flag].[All]" allUniqueName="[bank_loan_data].[DTI Flag].[All]" dimensionUniqueName="[bank_loan_data]" displayFolder="" count="2"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2"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2" memberValueDatatype="130" unbalanced="0">
      <fieldsUsage count="2">
        <fieldUsage x="-1"/>
        <fieldUsage x="2"/>
      </fieldsUsage>
    </cacheHierarchy>
    <cacheHierarchy uniqueName="[bank_loan_data].[RiskFlag]" caption="RiskFlag" attribute="1" defaultMemberUniqueName="[bank_loan_data].[RiskFlag].[All]" allUniqueName="[bank_loan_data].[RiskFlag].[All]" dimensionUniqueName="[bank_loan_data]" displayFolder="" count="2"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2"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2" memberValueDatatype="130" unbalanced="0">
      <fieldsUsage count="2">
        <fieldUsage x="-1"/>
        <fieldUsage x="3"/>
      </fieldsUsage>
    </cacheHierarchy>
    <cacheHierarchy uniqueName="[bank_loan_data].[Duplicate_Flag]" caption="Duplicate_Flag" attribute="1" defaultMemberUniqueName="[bank_loan_data].[Duplicate_Flag].[All]" allUniqueName="[bank_loan_data].[Duplicate_Flag].[All]" dimensionUniqueName="[bank_loan_data]" displayFolder="" count="2"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2" memberValueDatatype="130" unbalanced="0"/>
    <cacheHierarchy uniqueName="[bank_loan_data].[ownership_flag]" caption="ownership_flag" attribute="1" defaultMemberUniqueName="[bank_loan_data].[ownership_flag].[All]" allUniqueName="[bank_loan_data].[ownership_flag].[All]" dimensionUniqueName="[bank_loan_data]" displayFolder="" count="2"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2"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2"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2"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2" memberValueDatatype="130" unbalanced="0"/>
    <cacheHierarchy uniqueName="[bank_loan_data].[State_Name]" caption="State_Name" attribute="1" defaultMemberUniqueName="[bank_loan_data].[State_Name].[All]" allUniqueName="[bank_loan_data].[State_Name].[All]" dimensionUniqueName="[bank_loan_data]" displayFolder="" count="2" memberValueDatatype="130" unbalanced="0"/>
    <cacheHierarchy uniqueName="[raw_data].[Content]" caption="Content" attribute="1" defaultMemberUniqueName="[raw_data].[Content].[All]" allUniqueName="[raw_data].[Content].[All]" dimensionUniqueName="[raw_data]" displayFolder="" count="2" memberValueDatatype="130" unbalanced="0"/>
    <cacheHierarchy uniqueName="[raw_data].[Name]" caption="Name" attribute="1" defaultMemberUniqueName="[raw_data].[Name].[All]" allUniqueName="[raw_data].[Name].[All]" dimensionUniqueName="[raw_data]" displayFolder="" count="2" memberValueDatatype="130" unbalanced="0"/>
    <cacheHierarchy uniqueName="[raw_data].[Extension]" caption="Extension" attribute="1" defaultMemberUniqueName="[raw_data].[Extension].[All]" allUniqueName="[raw_data].[Extension].[All]" dimensionUniqueName="[raw_data]" displayFolder="" count="2" memberValueDatatype="130" unbalanced="0"/>
    <cacheHierarchy uniqueName="[raw_data].[Date accessed]" caption="Date accessed" attribute="1" time="1" defaultMemberUniqueName="[raw_data].[Date accessed].[All]" allUniqueName="[raw_data].[Date accessed].[All]" dimensionUniqueName="[raw_data]" displayFolder="" count="2" memberValueDatatype="7" unbalanced="0"/>
    <cacheHierarchy uniqueName="[raw_data].[Date modified]" caption="Date modified" attribute="1" time="1" defaultMemberUniqueName="[raw_data].[Date modified].[All]" allUniqueName="[raw_data].[Date modified].[All]" dimensionUniqueName="[raw_data]" displayFolder="" count="2" memberValueDatatype="7" unbalanced="0"/>
    <cacheHierarchy uniqueName="[raw_data].[Date created]" caption="Date created" attribute="1" time="1" defaultMemberUniqueName="[raw_data].[Date created].[All]" allUniqueName="[raw_data].[Date created].[All]" dimensionUniqueName="[raw_data]" displayFolder="" count="2" memberValueDatatype="7" unbalanced="0"/>
    <cacheHierarchy uniqueName="[raw_data].[Folder Path]" caption="Folder Path" attribute="1" defaultMemberUniqueName="[raw_data].[Folder Path].[All]" allUniqueName="[raw_data].[Folder Path].[All]" dimensionUniqueName="[raw_data]" displayFolder="" count="2"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2" memberValueDatatype="130" unbalanced="0"/>
    <cacheHierarchy uniqueName="[unemplyoment_rate].[Name]" caption="Name" attribute="1" defaultMemberUniqueName="[unemplyoment_rate].[Name].[All]" allUniqueName="[unemplyoment_rate].[Name].[All]" dimensionUniqueName="[unemplyoment_rate]" displayFolder="" count="2"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2"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2"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1"/>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564814811" backgroundQuery="1" createdVersion="8" refreshedVersion="8" minRefreshableVersion="3" recordCount="0" supportSubquery="1" supportAdvancedDrill="1" xr:uid="{6292A4CA-8CB2-4BA9-900F-A51111ABC3E1}">
  <cacheSource type="external" connectionId="4"/>
  <cacheFields count="7">
    <cacheField name="[bank_loan_data].[grade].[grade]" caption="grade" numFmtId="0" hierarchy="5" level="1">
      <sharedItems count="7">
        <s v="A"/>
        <s v="B"/>
        <s v="C"/>
        <s v="D"/>
        <s v="E"/>
        <s v="F"/>
        <s v="G"/>
      </sharedItems>
    </cacheField>
    <cacheField name="[Measures].[% Fraud Loans]" caption="% Fraud Loans" numFmtId="0" hierarchy="58" level="32767"/>
    <cacheField name="[Measures].[Average of repayment_efficiency_ratio]" caption="Average of repayment_efficiency_ratio" numFmtId="0" hierarchy="84" level="32767"/>
    <cacheField name="[bank_loan_data].[address_state].[address_state]" caption="address_state" numFmtId="0" hierarchy="1"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Average of loan_amount]" caption="Average of loan_amount" numFmtId="0" hierarchy="89" level="32767"/>
    <cacheField name="[Measures].[Average of int_rate]" caption="Average of int_rate" numFmtId="0" hierarchy="91" level="32767"/>
    <cacheField name="[Measures].[Risk % Loans]" caption="Risk % Loans" numFmtId="0" hierarchy="63" level="32767"/>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3"/>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2"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oneField="1">
      <fieldsUsage count="1">
        <fieldUsage x="1"/>
      </fieldsUsage>
    </cacheHierarchy>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oneField="1">
      <fieldsUsage count="1">
        <fieldUsage x="6"/>
      </fieldsUsage>
    </cacheHierarchy>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oneField="1" hidden="1">
      <fieldsUsage count="1">
        <fieldUsage x="2"/>
      </fieldsUsage>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oneField="1" hidden="1">
      <fieldsUsage count="1">
        <fieldUsage x="4"/>
      </fieldsUsage>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oneField="1" hidden="1">
      <fieldsUsage count="1">
        <fieldUsage x="5"/>
      </fieldsUsage>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2766204" backgroundQuery="1" createdVersion="8" refreshedVersion="8" minRefreshableVersion="3" recordCount="0" supportSubquery="1" supportAdvancedDrill="1" xr:uid="{C8912351-E14E-4253-A1AE-E2E10E02C210}">
  <cacheSource type="external" connectionId="4"/>
  <cacheFields count="13">
    <cacheField name="[Measures].[Total Amount Disbursed]" caption="Total Amount Disbursed" numFmtId="0" hierarchy="54" level="32767"/>
    <cacheField name="[Measures].[Avg DTI]" caption="Avg DTI" numFmtId="0" hierarchy="55" level="32767"/>
    <cacheField name="[Measures].[Total Payment]" caption="Total Payment" numFmtId="0" hierarchy="52" level="32767"/>
    <cacheField name="[Measures].[Total Disbursed Loans]" caption="Total Disbursed Loans" numFmtId="0" hierarchy="53" level="32767"/>
    <cacheField name="[Measures].[Avg Interest Rate]" caption="Avg Interest Rate" numFmtId="0" hierarchy="56" level="32767"/>
    <cacheField name="[Measures].[Expected Loan Growth]" caption="Expected Loan Growth" numFmtId="0" hierarchy="50" level="32767"/>
    <cacheField name="[Measures].[expected total payment]" caption="expected total payment" numFmtId="0" hierarchy="51" level="32767"/>
    <cacheField name="[Measures].[Expected paid %]" caption="Expected paid %" numFmtId="0" hierarchy="57" level="32767"/>
    <cacheField name="[Measures].[Active Loans]" caption="Active Loans" numFmtId="0" hierarchy="59" level="32767"/>
    <cacheField name="[Measures].[Charged Off/Defaulted Loans]" caption="Charged Off/Defaulted Loans" numFmtId="0" hierarchy="60" level="32767"/>
    <cacheField name="[Measures].[Closed Loans]" caption="Closed Loans" numFmtId="0" hierarchy="61" level="32767"/>
    <cacheField name="[bank_loan_data].[home_ownership].[home_ownership]" caption="home_ownership" numFmtId="0" hierarchy="7" level="1">
      <sharedItems containsSemiMixedTypes="0" containsNonDate="0" containsString="0"/>
    </cacheField>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12"/>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fieldsUsage count="2">
        <fieldUsage x="-1"/>
        <fieldUsage x="11"/>
      </fieldsUsage>
    </cacheHierarchy>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0"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oneField="1">
      <fieldsUsage count="1">
        <fieldUsage x="5"/>
      </fieldsUsage>
    </cacheHierarchy>
    <cacheHierarchy uniqueName="[Measures].[expected total payment]" caption="expected total payment" measure="1" displayFolder="" measureGroup="bank_loan_data" count="0" oneField="1">
      <fieldsUsage count="1">
        <fieldUsage x="6"/>
      </fieldsUsage>
    </cacheHierarchy>
    <cacheHierarchy uniqueName="[Measures].[Total Payment]" caption="Total Payment" measure="1" displayFolder="" measureGroup="bank_loan_data" count="0" oneField="1">
      <fieldsUsage count="1">
        <fieldUsage x="2"/>
      </fieldsUsage>
    </cacheHierarchy>
    <cacheHierarchy uniqueName="[Measures].[Total Disbursed Loans]" caption="Total Disbursed Loans" measure="1" displayFolder="" measureGroup="bank_loan_data" count="0" oneField="1">
      <fieldsUsage count="1">
        <fieldUsage x="3"/>
      </fieldsUsage>
    </cacheHierarchy>
    <cacheHierarchy uniqueName="[Measures].[Total Amount Disbursed]" caption="Total Amount Disbursed" measure="1" displayFolder="" measureGroup="bank_loan_data" count="0" oneField="1">
      <fieldsUsage count="1">
        <fieldUsage x="0"/>
      </fieldsUsage>
    </cacheHierarchy>
    <cacheHierarchy uniqueName="[Measures].[Avg DTI]" caption="Avg DTI" measure="1" displayFolder="" measureGroup="bank_loan_data" count="0" oneField="1">
      <fieldsUsage count="1">
        <fieldUsage x="1"/>
      </fieldsUsage>
    </cacheHierarchy>
    <cacheHierarchy uniqueName="[Measures].[Avg Interest Rate]" caption="Avg Interest Rate" measure="1" displayFolder="" measureGroup="bank_loan_data" count="0" oneField="1">
      <fieldsUsage count="1">
        <fieldUsage x="4"/>
      </fieldsUsage>
    </cacheHierarchy>
    <cacheHierarchy uniqueName="[Measures].[Expected paid %]" caption="Expected paid %" measure="1" displayFolder="" measureGroup="bank_loan_data" count="0" oneField="1">
      <fieldsUsage count="1">
        <fieldUsage x="7"/>
      </fieldsUsage>
    </cacheHierarchy>
    <cacheHierarchy uniqueName="[Measures].[% Fraud Loans]" caption="% Fraud Loans" measure="1" displayFolder="" measureGroup="bank_loan_data" count="0"/>
    <cacheHierarchy uniqueName="[Measures].[Active Loans]" caption="Active Loans" measure="1" displayFolder="" measureGroup="bank_loan_data" count="0" oneField="1">
      <fieldsUsage count="1">
        <fieldUsage x="8"/>
      </fieldsUsage>
    </cacheHierarchy>
    <cacheHierarchy uniqueName="[Measures].[Charged Off/Defaulted Loans]" caption="Charged Off/Defaulted Loans" measure="1" displayFolder="" measureGroup="bank_loan_data" count="0" oneField="1">
      <fieldsUsage count="1">
        <fieldUsage x="9"/>
      </fieldsUsage>
    </cacheHierarchy>
    <cacheHierarchy uniqueName="[Measures].[Closed Loans]" caption="Closed Loans" measure="1" displayFolder="" measureGroup="bank_loan_data" count="0" oneField="1">
      <fieldsUsage count="1">
        <fieldUsage x="10"/>
      </fieldsUsage>
    </cacheHierarchy>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566435189" backgroundQuery="1" createdVersion="8" refreshedVersion="8" minRefreshableVersion="3" recordCount="0" supportSubquery="1" supportAdvancedDrill="1" xr:uid="{1DAA5B9A-3BE9-4EC9-B5AF-B69F4B6D8176}">
  <cacheSource type="external" connectionId="4"/>
  <cacheFields count="4">
    <cacheField name="[bank_loan_data].[grade].[grade]" caption="grade" numFmtId="0" hierarchy="5" level="1">
      <sharedItems count="7">
        <s v="A"/>
        <s v="B"/>
        <s v="C"/>
        <s v="D"/>
        <s v="E"/>
        <s v="F"/>
        <s v="G"/>
      </sharedItems>
    </cacheField>
    <cacheField name="[bank_loan_data].[unemployment_rate].[unemployment_rate]" caption="unemployment_rate" numFmtId="0" hierarchy="29" level="1">
      <sharedItems containsSemiMixedTypes="0" containsString="0" containsNumber="1" minValue="2.6" maxValue="7.3" count="27">
        <n v="2.6"/>
        <n v="2.8"/>
        <n v="3.3"/>
        <n v="3.4"/>
        <n v="3.6"/>
        <n v="3.7"/>
        <n v="3.8"/>
        <n v="3.9"/>
        <n v="4"/>
        <n v="4.2"/>
        <n v="4.5"/>
        <n v="4.7"/>
        <n v="4.9000000000000004"/>
        <n v="5.0999999999999996"/>
        <n v="5.2"/>
        <n v="5.4"/>
        <n v="5.5"/>
        <n v="5.6"/>
        <n v="5.7"/>
        <n v="5.9"/>
        <n v="6"/>
        <n v="6.1"/>
        <n v="6.4"/>
        <n v="6.7"/>
        <n v="6.8"/>
        <n v="7.1"/>
        <n v="7.3"/>
      </sharedItems>
    </cacheField>
    <cacheField name="[Measures].[Total Disbursed Loans]" caption="Total Disbursed Loans" numFmtId="0" hierarchy="53" level="32767"/>
    <cacheField name="[Measures].[% Charged Off Loans]" caption="% Charged Off Loans" numFmtId="0" hierarchy="62" level="32767"/>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2"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2" memberValueDatatype="5" unbalanced="0">
      <fieldsUsage count="2">
        <fieldUsage x="-1"/>
        <fieldUsage x="1"/>
      </fieldsUsage>
    </cacheHierarchy>
    <cacheHierarchy uniqueName="[bank_loan_data].[state_unemployment_flag]" caption="state_unemployment_flag" attribute="1" defaultMemberUniqueName="[bank_loan_data].[state_unemployment_flag].[All]" allUniqueName="[bank_loan_data].[state_unemployment_flag].[All]" dimensionUniqueName="[bank_loan_data]" displayFolder="" count="2"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2"/>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oneField="1">
      <fieldsUsage count="1">
        <fieldUsage x="3"/>
      </fieldsUsage>
    </cacheHierarchy>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567939813" backgroundQuery="1" createdVersion="8" refreshedVersion="8" minRefreshableVersion="3" recordCount="0" supportSubquery="1" supportAdvancedDrill="1" xr:uid="{1F54C1A2-81E0-4513-B6F9-BEEE8D38D10F}">
  <cacheSource type="external" connectionId="4"/>
  <cacheFields count="3">
    <cacheField name="[bank_loan_data].[grade].[grade]" caption="grade" numFmtId="0" hierarchy="5" level="1">
      <sharedItems count="7">
        <s v="A"/>
        <s v="B"/>
        <s v="C"/>
        <s v="D"/>
        <s v="E"/>
        <s v="F"/>
        <s v="G"/>
      </sharedItems>
    </cacheField>
    <cacheField name="[bank_loan_data].[address_state].[address_state]" caption="address_state" numFmtId="0" hierarchy="1"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Total Amount Disbursed]" caption="Total Amount Disbursed" numFmtId="0" hierarchy="54" level="32767"/>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1"/>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2"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2"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oneField="1">
      <fieldsUsage count="1">
        <fieldUsage x="2"/>
      </fieldsUsage>
    </cacheHierarchy>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569328706" backgroundQuery="1" createdVersion="8" refreshedVersion="8" minRefreshableVersion="3" recordCount="0" supportSubquery="1" supportAdvancedDrill="1" xr:uid="{79EF4608-ED7F-4896-8F8C-B4BC7FE889EF}">
  <cacheSource type="external" connectionId="4"/>
  <cacheFields count="8">
    <cacheField name="[bank_loan_data].[grade].[grade]" caption="grade" numFmtId="0" hierarchy="5" level="1">
      <sharedItems count="7">
        <s v="A"/>
        <s v="B"/>
        <s v="C"/>
        <s v="D"/>
        <s v="E"/>
        <s v="F"/>
        <s v="G"/>
      </sharedItems>
    </cacheField>
    <cacheField name="[Measures].[Total Disbursed Loans]" caption="Total Disbursed Loans" numFmtId="0" hierarchy="53" level="32767"/>
    <cacheField name="[bank_loan_data].[address_state].[address_state]" caption="address_state" numFmtId="0" hierarchy="1" level="1">
      <sharedItems count="5">
        <s v="AK"/>
        <s v="AL"/>
        <s v="KS"/>
        <s v="OK"/>
        <s v="WY"/>
      </sharedItems>
    </cacheField>
    <cacheField name="[Measures].[Average of annual_income]" caption="Average of annual_income" numFmtId="0" hierarchy="87" level="32767"/>
    <cacheField name="[Measures].[Average of loan_amount]" caption="Average of loan_amount" numFmtId="0" hierarchy="89" level="32767"/>
    <cacheField name="[Measures].[Avg Interest Rate]" caption="Avg Interest Rate" numFmtId="0" hierarchy="56" level="32767"/>
    <cacheField name="[Measures].[Average of unemployment_rate]" caption="Average of unemployment_rate" numFmtId="0" hierarchy="92" level="32767"/>
    <cacheField name="[Measures].[% Fraud Loans]" caption="% Fraud Loans" numFmtId="0" hierarchy="58" level="32767"/>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2"/>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2"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0"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2"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2"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2"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1"/>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oneField="1">
      <fieldsUsage count="1">
        <fieldUsage x="5"/>
      </fieldsUsage>
    </cacheHierarchy>
    <cacheHierarchy uniqueName="[Measures].[Expected paid %]" caption="Expected paid %" measure="1" displayFolder="" measureGroup="bank_loan_data" count="0"/>
    <cacheHierarchy uniqueName="[Measures].[% Fraud Loans]" caption="% Fraud Loans" measure="1" displayFolder="" measureGroup="bank_loan_data" count="0" oneField="1">
      <fieldsUsage count="1">
        <fieldUsage x="7"/>
      </fieldsUsage>
    </cacheHierarchy>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oneField="1" hidden="1">
      <fieldsUsage count="1">
        <fieldUsage x="3"/>
      </fieldsUsage>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oneField="1" hidden="1">
      <fieldsUsage count="1">
        <fieldUsage x="4"/>
      </fieldsUsage>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oneField="1" hidden="1">
      <fieldsUsage count="1">
        <fieldUsage x="6"/>
      </fieldsUsage>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570717592" backgroundQuery="1" createdVersion="8" refreshedVersion="8" minRefreshableVersion="3" recordCount="0" supportSubquery="1" supportAdvancedDrill="1" xr:uid="{57DD0502-F377-4E06-8BF4-C4CAD912D56B}">
  <cacheSource type="external" connectionId="4"/>
  <cacheFields count="8">
    <cacheField name="[bank_loan_data].[grade].[grade]" caption="grade" numFmtId="0" hierarchy="5" level="1">
      <sharedItems count="7">
        <s v="A"/>
        <s v="B"/>
        <s v="C"/>
        <s v="D"/>
        <s v="E"/>
        <s v="F"/>
        <s v="G"/>
      </sharedItems>
    </cacheField>
    <cacheField name="[Measures].[Total Disbursed Loans]" caption="Total Disbursed Loans" numFmtId="0" hierarchy="53" level="32767"/>
    <cacheField name="[bank_loan_data].[address_state].[address_state]" caption="address_state" numFmtId="0" hierarchy="1" level="1">
      <sharedItems count="5">
        <s v="ID"/>
        <s v="ME"/>
        <s v="MS"/>
        <s v="MT"/>
        <s v="TN"/>
      </sharedItems>
    </cacheField>
    <cacheField name="[Measures].[Average of annual_income]" caption="Average of annual_income" numFmtId="0" hierarchy="87" level="32767"/>
    <cacheField name="[Measures].[Average of loan_amount]" caption="Average of loan_amount" numFmtId="0" hierarchy="89" level="32767"/>
    <cacheField name="[Measures].[Avg Interest Rate]" caption="Avg Interest Rate" numFmtId="0" hierarchy="56" level="32767"/>
    <cacheField name="[Measures].[Average of unemployment_rate]" caption="Average of unemployment_rate" numFmtId="0" hierarchy="92" level="32767"/>
    <cacheField name="[Measures].[% Fraud Loans]" caption="% Fraud Loans" numFmtId="0" hierarchy="58" level="32767"/>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2"/>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2"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0"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2"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2"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2"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1"/>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oneField="1">
      <fieldsUsage count="1">
        <fieldUsage x="5"/>
      </fieldsUsage>
    </cacheHierarchy>
    <cacheHierarchy uniqueName="[Measures].[Expected paid %]" caption="Expected paid %" measure="1" displayFolder="" measureGroup="bank_loan_data" count="0"/>
    <cacheHierarchy uniqueName="[Measures].[% Fraud Loans]" caption="% Fraud Loans" measure="1" displayFolder="" measureGroup="bank_loan_data" count="0" oneField="1">
      <fieldsUsage count="1">
        <fieldUsage x="7"/>
      </fieldsUsage>
    </cacheHierarchy>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oneField="1" hidden="1">
      <fieldsUsage count="1">
        <fieldUsage x="3"/>
      </fieldsUsage>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oneField="1" hidden="1">
      <fieldsUsage count="1">
        <fieldUsage x="4"/>
      </fieldsUsage>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oneField="1" hidden="1">
      <fieldsUsage count="1">
        <fieldUsage x="6"/>
      </fieldsUsage>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572222224" backgroundQuery="1" createdVersion="8" refreshedVersion="8" minRefreshableVersion="3" recordCount="0" supportSubquery="1" supportAdvancedDrill="1" xr:uid="{F60588C2-ABF7-492F-953B-C9A665AB6F9F}">
  <cacheSource type="external" connectionId="4"/>
  <cacheFields count="9">
    <cacheField name="[bank_loan_data].[grade].[grade]" caption="grade" numFmtId="0" hierarchy="5" level="1">
      <sharedItems count="7">
        <s v="A"/>
        <s v="B"/>
        <s v="C"/>
        <s v="D"/>
        <s v="E"/>
        <s v="F"/>
        <s v="G"/>
      </sharedItems>
    </cacheField>
    <cacheField name="[Measures].[Total Disbursed Loans]" caption="Total Disbursed Loans" numFmtId="0" hierarchy="53" level="32767"/>
    <cacheField name="[bank_loan_data].[address_state].[address_state]" caption="address_state" numFmtId="0" hierarchy="1" level="1">
      <sharedItems count="5">
        <s v="ID"/>
        <s v="ME"/>
        <s v="MS"/>
        <s v="MT"/>
        <s v="TN"/>
      </sharedItems>
    </cacheField>
    <cacheField name="[Measures].[Average of annual_income]" caption="Average of annual_income" numFmtId="0" hierarchy="87" level="32767"/>
    <cacheField name="[Measures].[Average of loan_amount]" caption="Average of loan_amount" numFmtId="0" hierarchy="89" level="32767"/>
    <cacheField name="[Measures].[Avg Interest Rate]" caption="Avg Interest Rate" numFmtId="0" hierarchy="56" level="32767"/>
    <cacheField name="[Measures].[Average of unemployment_rate]" caption="Average of unemployment_rate" numFmtId="0" hierarchy="92" level="32767"/>
    <cacheField name="[Measures].[% Fraud Loans]" caption="% Fraud Loans" numFmtId="0" hierarchy="58" level="32767"/>
    <cacheField name="[Measures].[Avg DTI]" caption="Avg DTI" numFmtId="0" hierarchy="55" level="32767"/>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2"/>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2"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0"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2"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2"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2"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1"/>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oneField="1">
      <fieldsUsage count="1">
        <fieldUsage x="8"/>
      </fieldsUsage>
    </cacheHierarchy>
    <cacheHierarchy uniqueName="[Measures].[Avg Interest Rate]" caption="Avg Interest Rate" measure="1" displayFolder="" measureGroup="bank_loan_data" count="0" oneField="1">
      <fieldsUsage count="1">
        <fieldUsage x="5"/>
      </fieldsUsage>
    </cacheHierarchy>
    <cacheHierarchy uniqueName="[Measures].[Expected paid %]" caption="Expected paid %" measure="1" displayFolder="" measureGroup="bank_loan_data" count="0"/>
    <cacheHierarchy uniqueName="[Measures].[% Fraud Loans]" caption="% Fraud Loans" measure="1" displayFolder="" measureGroup="bank_loan_data" count="0" oneField="1">
      <fieldsUsage count="1">
        <fieldUsage x="7"/>
      </fieldsUsage>
    </cacheHierarchy>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oneField="1" hidden="1">
      <fieldsUsage count="1">
        <fieldUsage x="3"/>
      </fieldsUsage>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oneField="1" hidden="1">
      <fieldsUsage count="1">
        <fieldUsage x="4"/>
      </fieldsUsage>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oneField="1" hidden="1">
      <fieldsUsage count="1">
        <fieldUsage x="6"/>
      </fieldsUsage>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573611109" backgroundQuery="1" createdVersion="8" refreshedVersion="8" minRefreshableVersion="3" recordCount="0" supportSubquery="1" supportAdvancedDrill="1" xr:uid="{6D8E9D35-ED00-4806-8E0B-F5BA59E1DFCB}">
  <cacheSource type="external" connectionId="4"/>
  <cacheFields count="3">
    <cacheField name="[bank_loan_data].[grade].[grade]" caption="grade" numFmtId="0" hierarchy="5" level="1">
      <sharedItems count="7">
        <s v="A"/>
        <s v="B"/>
        <s v="C"/>
        <s v="D"/>
        <s v="E"/>
        <s v="F"/>
        <s v="G"/>
      </sharedItems>
    </cacheField>
    <cacheField name="[Measures].[Total Disbursed Loans]" caption="Total Disbursed Loans" numFmtId="0" hierarchy="53" level="32767"/>
    <cacheField name="[bank_loan_data].[home_ownership].[home_ownership]" caption="home_ownership" numFmtId="0" hierarchy="7" level="1">
      <sharedItems count="5">
        <s v="MORTGAGE"/>
        <s v="NONE"/>
        <s v="OTHER"/>
        <s v="OWN"/>
        <s v="RENT"/>
      </sharedItems>
    </cacheField>
  </cacheFields>
  <cacheHierarchies count="93">
    <cacheHierarchy uniqueName="[bank_loan_data].[id]" caption="id" attribute="1" defaultMemberUniqueName="[bank_loan_data].[id].[All]" allUniqueName="[bank_loan_data].[id].[All]" dimensionUniqueName="[bank_loan_data]" displayFolder="" count="2"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cacheHierarchy uniqueName="[bank_loan_data].[application_type]" caption="application_type" attribute="1" defaultMemberUniqueName="[bank_loan_data].[application_type].[All]" allUniqueName="[bank_loan_data].[application_type].[All]" dimensionUniqueName="[bank_loan_data]" displayFolder="" count="2" memberValueDatatype="130" unbalanced="0"/>
    <cacheHierarchy uniqueName="[bank_loan_data].[emp_length]" caption="emp_length" attribute="1" defaultMemberUniqueName="[bank_loan_data].[emp_length].[All]" allUniqueName="[bank_loan_data].[emp_length].[All]" dimensionUniqueName="[bank_loan_data]" displayFolder="" count="2" memberValueDatatype="130" unbalanced="0"/>
    <cacheHierarchy uniqueName="[bank_loan_data].[emp_title]" caption="emp_title" attribute="1" defaultMemberUniqueName="[bank_loan_data].[emp_title].[All]" allUniqueName="[bank_loan_data].[emp_title].[All]" dimensionUniqueName="[bank_loan_data]" displayFolder="" count="2"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2"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fieldsUsage count="2">
        <fieldUsage x="-1"/>
        <fieldUsage x="2"/>
      </fieldsUsage>
    </cacheHierarchy>
    <cacheHierarchy uniqueName="[bank_loan_data].[issue_date]" caption="issue_date" attribute="1" time="1" defaultMemberUniqueName="[bank_loan_data].[issue_date].[All]" allUniqueName="[bank_loan_data].[issue_date].[All]" dimensionUniqueName="[bank_loan_data]" displayFolder="" count="2"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2"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2"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2"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2" memberValueDatatype="7" unbalanced="0"/>
    <cacheHierarchy uniqueName="[bank_loan_data].[member_id]" caption="member_id" attribute="1" defaultMemberUniqueName="[bank_loan_data].[member_id].[All]" allUniqueName="[bank_loan_data].[member_id].[All]" dimensionUniqueName="[bank_loan_data]" displayFolder="" count="2" memberValueDatatype="20" unbalanced="0"/>
    <cacheHierarchy uniqueName="[bank_loan_data].[purpose]" caption="purpose" attribute="1" defaultMemberUniqueName="[bank_loan_data].[purpose].[All]" allUniqueName="[bank_loan_data].[purpose].[All]" dimensionUniqueName="[bank_loan_data]" displayFolder="" count="2"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2" memberValueDatatype="130" unbalanced="0"/>
    <cacheHierarchy uniqueName="[bank_loan_data].[term_months]" caption="term_months" attribute="1" defaultMemberUniqueName="[bank_loan_data].[term_months].[All]" allUniqueName="[bank_loan_data].[term_months].[All]" dimensionUniqueName="[bank_loan_data]" displayFolder="" count="2" memberValueDatatype="20" unbalanced="0"/>
    <cacheHierarchy uniqueName="[bank_loan_data].[annual_income]" caption="annual_income" attribute="1" defaultMemberUniqueName="[bank_loan_data].[annual_income].[All]" allUniqueName="[bank_loan_data].[annual_income].[All]" dimensionUniqueName="[bank_loan_data]" displayFolder="" count="2" memberValueDatatype="5" unbalanced="0"/>
    <cacheHierarchy uniqueName="[bank_loan_data].[dti]" caption="dti" attribute="1" defaultMemberUniqueName="[bank_loan_data].[dti].[All]" allUniqueName="[bank_loan_data].[dti].[All]" dimensionUniqueName="[bank_loan_data]" displayFolder="" count="2" memberValueDatatype="5" unbalanced="0"/>
    <cacheHierarchy uniqueName="[bank_loan_data].[installment]" caption="installment" attribute="1" defaultMemberUniqueName="[bank_loan_data].[installment].[All]" allUniqueName="[bank_loan_data].[installment].[All]" dimensionUniqueName="[bank_loan_data]" displayFolder="" count="2" memberValueDatatype="5" unbalanced="0"/>
    <cacheHierarchy uniqueName="[bank_loan_data].[int_rate]" caption="int_rate" attribute="1" defaultMemberUniqueName="[bank_loan_data].[int_rate].[All]" allUniqueName="[bank_loan_data].[int_rate].[All]" dimensionUniqueName="[bank_loan_data]" displayFolder="" count="2" memberValueDatatype="5" unbalanced="0"/>
    <cacheHierarchy uniqueName="[bank_loan_data].[loan_amount]" caption="loan_amount" attribute="1" defaultMemberUniqueName="[bank_loan_data].[loan_amount].[All]" allUniqueName="[bank_loan_data].[loan_amount].[All]" dimensionUniqueName="[bank_loan_data]" displayFolder="" count="2" memberValueDatatype="5" unbalanced="0"/>
    <cacheHierarchy uniqueName="[bank_loan_data].[total_acc]" caption="total_acc" attribute="1" defaultMemberUniqueName="[bank_loan_data].[total_acc].[All]" allUniqueName="[bank_loan_data].[total_acc].[All]" dimensionUniqueName="[bank_loan_data]" displayFolder="" count="2" memberValueDatatype="20" unbalanced="0"/>
    <cacheHierarchy uniqueName="[bank_loan_data].[total_payment]" caption="total_payment" attribute="1" defaultMemberUniqueName="[bank_loan_data].[total_payment].[All]" allUniqueName="[bank_loan_data].[total_payment].[All]" dimensionUniqueName="[bank_loan_data]" displayFolder="" count="2" memberValueDatatype="5" unbalanced="0"/>
    <cacheHierarchy uniqueName="[bank_loan_data].[DTI Flag]" caption="DTI Flag" attribute="1" defaultMemberUniqueName="[bank_loan_data].[DTI Flag].[All]" allUniqueName="[bank_loan_data].[DTI Flag].[All]" dimensionUniqueName="[bank_loan_data]" displayFolder="" count="2"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2"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2" memberValueDatatype="130" unbalanced="0"/>
    <cacheHierarchy uniqueName="[bank_loan_data].[RiskFlag]" caption="RiskFlag" attribute="1" defaultMemberUniqueName="[bank_loan_data].[RiskFlag].[All]" allUniqueName="[bank_loan_data].[RiskFlag].[All]" dimensionUniqueName="[bank_loan_data]" displayFolder="" count="2"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2"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2" memberValueDatatype="130" unbalanced="0"/>
    <cacheHierarchy uniqueName="[bank_loan_data].[Duplicate_Flag]" caption="Duplicate_Flag" attribute="1" defaultMemberUniqueName="[bank_loan_data].[Duplicate_Flag].[All]" allUniqueName="[bank_loan_data].[Duplicate_Flag].[All]" dimensionUniqueName="[bank_loan_data]" displayFolder="" count="2"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2" memberValueDatatype="130" unbalanced="0"/>
    <cacheHierarchy uniqueName="[bank_loan_data].[ownership_flag]" caption="ownership_flag" attribute="1" defaultMemberUniqueName="[bank_loan_data].[ownership_flag].[All]" allUniqueName="[bank_loan_data].[ownership_flag].[All]" dimensionUniqueName="[bank_loan_data]" displayFolder="" count="2"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2"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2"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2"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2" memberValueDatatype="130" unbalanced="0"/>
    <cacheHierarchy uniqueName="[bank_loan_data].[State_Name]" caption="State_Name" attribute="1" defaultMemberUniqueName="[bank_loan_data].[State_Name].[All]" allUniqueName="[bank_loan_data].[State_Name].[All]" dimensionUniqueName="[bank_loan_data]" displayFolder="" count="2" memberValueDatatype="130" unbalanced="0"/>
    <cacheHierarchy uniqueName="[raw_data].[Content]" caption="Content" attribute="1" defaultMemberUniqueName="[raw_data].[Content].[All]" allUniqueName="[raw_data].[Content].[All]" dimensionUniqueName="[raw_data]" displayFolder="" count="2" memberValueDatatype="130" unbalanced="0"/>
    <cacheHierarchy uniqueName="[raw_data].[Name]" caption="Name" attribute="1" defaultMemberUniqueName="[raw_data].[Name].[All]" allUniqueName="[raw_data].[Name].[All]" dimensionUniqueName="[raw_data]" displayFolder="" count="2" memberValueDatatype="130" unbalanced="0"/>
    <cacheHierarchy uniqueName="[raw_data].[Extension]" caption="Extension" attribute="1" defaultMemberUniqueName="[raw_data].[Extension].[All]" allUniqueName="[raw_data].[Extension].[All]" dimensionUniqueName="[raw_data]" displayFolder="" count="2" memberValueDatatype="130" unbalanced="0"/>
    <cacheHierarchy uniqueName="[raw_data].[Date accessed]" caption="Date accessed" attribute="1" time="1" defaultMemberUniqueName="[raw_data].[Date accessed].[All]" allUniqueName="[raw_data].[Date accessed].[All]" dimensionUniqueName="[raw_data]" displayFolder="" count="2" memberValueDatatype="7" unbalanced="0"/>
    <cacheHierarchy uniqueName="[raw_data].[Date modified]" caption="Date modified" attribute="1" time="1" defaultMemberUniqueName="[raw_data].[Date modified].[All]" allUniqueName="[raw_data].[Date modified].[All]" dimensionUniqueName="[raw_data]" displayFolder="" count="2" memberValueDatatype="7" unbalanced="0"/>
    <cacheHierarchy uniqueName="[raw_data].[Date created]" caption="Date created" attribute="1" time="1" defaultMemberUniqueName="[raw_data].[Date created].[All]" allUniqueName="[raw_data].[Date created].[All]" dimensionUniqueName="[raw_data]" displayFolder="" count="2" memberValueDatatype="7" unbalanced="0"/>
    <cacheHierarchy uniqueName="[raw_data].[Folder Path]" caption="Folder Path" attribute="1" defaultMemberUniqueName="[raw_data].[Folder Path].[All]" allUniqueName="[raw_data].[Folder Path].[All]" dimensionUniqueName="[raw_data]" displayFolder="" count="2"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2" memberValueDatatype="130" unbalanced="0"/>
    <cacheHierarchy uniqueName="[unemplyoment_rate].[Name]" caption="Name" attribute="1" defaultMemberUniqueName="[unemplyoment_rate].[Name].[All]" allUniqueName="[unemplyoment_rate].[Name].[All]" dimensionUniqueName="[unemplyoment_rate]" displayFolder="" count="2"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2"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2"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1"/>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5050694443" backgroundQuery="1" createdVersion="8" refreshedVersion="8" minRefreshableVersion="3" recordCount="0" supportSubquery="1" supportAdvancedDrill="1" xr:uid="{E9A665CC-7755-4B12-A530-8DB04344EBED}">
  <cacheSource type="external" connectionId="4"/>
  <cacheFields count="13">
    <cacheField name="[bank_loan_data].[State_Name].[State_Name]" caption="State_Name" numFmtId="0" hierarchy="38" level="1">
      <sharedItems count="50">
        <s v="Alaska"/>
        <s v="California"/>
        <s v="Connecticut"/>
        <s v="District of Columbia"/>
        <s v="Hawaii"/>
        <s v="Illinois"/>
        <s v="Louisiana"/>
        <s v="Michigan"/>
        <s v="Nevada"/>
        <s v="New Jersey"/>
        <s v="New Mexico"/>
        <s v="New York"/>
        <s v="Pennsylvania"/>
        <s v="Texas"/>
        <s v="Alabama"/>
        <s v="Arizona"/>
        <s v="Arkansas"/>
        <s v="Colorado"/>
        <s v="Delaware"/>
        <s v="Florida"/>
        <s v="Georgia"/>
        <s v="Idaho"/>
        <s v="Indiana"/>
        <s v="Iowa"/>
        <s v="Kansas"/>
        <s v="Kentucky"/>
        <s v="Maine"/>
        <s v="Maryland"/>
        <s v="Massachusetts"/>
        <s v="Minnesota"/>
        <s v="Mississippi"/>
        <s v="Missouri"/>
        <s v="Montana"/>
        <s v="Nebraska"/>
        <s v="New Hampshire"/>
        <s v="North Carolina"/>
        <s v="Ohio"/>
        <s v="Oklahoma"/>
        <s v="Oregon"/>
        <s v="Rhode Island"/>
        <s v="South Carolina"/>
        <s v="South Dakota"/>
        <s v="Tennessee"/>
        <s v="Utah"/>
        <s v="Vermont"/>
        <s v="Virginia"/>
        <s v="Washington"/>
        <s v="West Virginia"/>
        <s v="Wisconsin"/>
        <s v="Wyoming"/>
      </sharedItems>
    </cacheField>
    <cacheField name="[Measures].[Avg DTI]" caption="Avg DTI" numFmtId="0" hierarchy="55" level="32767"/>
    <cacheField name="[Measures].[Avg Interest Rate]" caption="Avg Interest Rate" numFmtId="0" hierarchy="56" level="32767"/>
    <cacheField name="[Measures].[% Charged Off Loans]" caption="% Charged Off Loans" numFmtId="0" hierarchy="62" level="32767"/>
    <cacheField name="[bank_loan_data].[state_unemployment_flag].[state_unemployment_flag]" caption="state_unemployment_flag" numFmtId="0" hierarchy="30" level="1">
      <sharedItems count="2">
        <s v="High Risk State"/>
        <s v="Low Risk State"/>
      </sharedItems>
    </cacheField>
    <cacheField name="[Measures].[Active Loans]" caption="Active Loans" numFmtId="0" hierarchy="59" level="32767"/>
    <cacheField name="[Measures].[Charged Off/Defaulted Loans]" caption="Charged Off/Defaulted Loans" numFmtId="0" hierarchy="60" level="32767"/>
    <cacheField name="[Measures].[Closed Loans]" caption="Closed Loans" numFmtId="0" hierarchy="61" level="32767"/>
    <cacheField name="[Measures].[Total Amount Disbursed]" caption="Total Amount Disbursed" numFmtId="0" hierarchy="54" level="32767"/>
    <cacheField name="[bank_loan_data].[RiskFlag].[RiskFlag]" caption="RiskFlag" numFmtId="0" hierarchy="28" level="1">
      <sharedItems count="2">
        <s v="High Risk"/>
        <s v="Low/Medium Risk"/>
      </sharedItems>
    </cacheField>
    <cacheField name="[Measures].[Total Payment]" caption="Total Payment" numFmtId="0" hierarchy="52" level="32767"/>
    <cacheField name="[Measures].[Expected Loan Growth]" caption="Expected Loan Growth" numFmtId="0" hierarchy="50" level="32767"/>
    <cacheField name="[Measures].[Average of repayment_efficiency_ratio]" caption="Average of repayment_efficiency_ratio" numFmtId="0" hierarchy="84" level="32767"/>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2" memberValueDatatype="130" unbalanced="0">
      <fieldsUsage count="2">
        <fieldUsage x="-1"/>
        <fieldUsage x="9"/>
      </fieldsUsage>
    </cacheHierarchy>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2" memberValueDatatype="130" unbalanced="0">
      <fieldsUsage count="2">
        <fieldUsage x="-1"/>
        <fieldUsage x="4"/>
      </fieldsUsage>
    </cacheHierarchy>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2" memberValueDatatype="130" unbalanced="0">
      <fieldsUsage count="2">
        <fieldUsage x="-1"/>
        <fieldUsage x="0"/>
      </fieldsUsage>
    </cacheHierarchy>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oneField="1">
      <fieldsUsage count="1">
        <fieldUsage x="11"/>
      </fieldsUsage>
    </cacheHierarchy>
    <cacheHierarchy uniqueName="[Measures].[expected total payment]" caption="expected total payment" measure="1" displayFolder="" measureGroup="bank_loan_data" count="0"/>
    <cacheHierarchy uniqueName="[Measures].[Total Payment]" caption="Total Payment" measure="1" displayFolder="" measureGroup="bank_loan_data" count="0" oneField="1">
      <fieldsUsage count="1">
        <fieldUsage x="10"/>
      </fieldsUsage>
    </cacheHierarchy>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oneField="1">
      <fieldsUsage count="1">
        <fieldUsage x="8"/>
      </fieldsUsage>
    </cacheHierarchy>
    <cacheHierarchy uniqueName="[Measures].[Avg DTI]" caption="Avg DTI" measure="1" displayFolder="" measureGroup="bank_loan_data" count="0" oneField="1">
      <fieldsUsage count="1">
        <fieldUsage x="1"/>
      </fieldsUsage>
    </cacheHierarchy>
    <cacheHierarchy uniqueName="[Measures].[Avg Interest Rate]" caption="Avg Interest Rate" measure="1" displayFolder="" measureGroup="bank_loan_data" count="0" oneField="1">
      <fieldsUsage count="1">
        <fieldUsage x="2"/>
      </fieldsUsage>
    </cacheHierarchy>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oneField="1">
      <fieldsUsage count="1">
        <fieldUsage x="5"/>
      </fieldsUsage>
    </cacheHierarchy>
    <cacheHierarchy uniqueName="[Measures].[Charged Off/Defaulted Loans]" caption="Charged Off/Defaulted Loans" measure="1" displayFolder="" measureGroup="bank_loan_data" count="0" oneField="1">
      <fieldsUsage count="1">
        <fieldUsage x="6"/>
      </fieldsUsage>
    </cacheHierarchy>
    <cacheHierarchy uniqueName="[Measures].[Closed Loans]" caption="Closed Loans" measure="1" displayFolder="" measureGroup="bank_loan_data" count="0" oneField="1">
      <fieldsUsage count="1">
        <fieldUsage x="7"/>
      </fieldsUsage>
    </cacheHierarchy>
    <cacheHierarchy uniqueName="[Measures].[% Charged Off Loans]" caption="% Charged Off Loans" measure="1" displayFolder="" measureGroup="bank_loan_data" count="0" oneField="1">
      <fieldsUsage count="1">
        <fieldUsage x="3"/>
      </fieldsUsage>
    </cacheHierarchy>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oneField="1" hidden="1">
      <fieldsUsage count="1">
        <fieldUsage x="12"/>
      </fieldsUsage>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5.635193402777" backgroundQuery="1" createdVersion="3" refreshedVersion="8" minRefreshableVersion="3" recordCount="0" supportSubquery="1" supportAdvancedDrill="1" xr:uid="{BA208EEC-E43A-494D-913F-17D8A4E7475D}">
  <cacheSource type="external" connectionId="4">
    <extLst>
      <ext xmlns:x14="http://schemas.microsoft.com/office/spreadsheetml/2009/9/main" uri="{F057638F-6D5F-4e77-A914-E7F072B9BCA8}">
        <x14:sourceConnection name="ThisWorkbookDataModel"/>
      </ext>
    </extLst>
  </cacheSource>
  <cacheFields count="0"/>
  <cacheHierarchies count="86">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2"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2"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2"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2"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2"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Count of expected_total_payment]" caption="Count of expected_total_payment" measure="1" displayFolder="" measureGroup="bank_loan_data" count="0">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extLst>
        <ext xmlns:x15="http://schemas.microsoft.com/office/spreadsheetml/2010/11/main" uri="{B97F6D7D-B522-45F9-BDA1-12C45D357490}">
          <x15:cacheHierarchy aggregatedColumn="33"/>
        </ext>
      </extLst>
    </cacheHierarchy>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32404361"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5.649251967596" backgroundQuery="1" createdVersion="3" refreshedVersion="8" minRefreshableVersion="3" recordCount="0" supportSubquery="1" supportAdvancedDrill="1" xr:uid="{21AE02BA-84FA-45F7-9A5E-8EB47F6D0B76}">
  <cacheSource type="external" connectionId="4">
    <extLst>
      <ext xmlns:x14="http://schemas.microsoft.com/office/spreadsheetml/2009/9/main" uri="{F057638F-6D5F-4e77-A914-E7F072B9BCA8}">
        <x14:sourceConnection name="ThisWorkbookDataModel"/>
      </ext>
    </extLst>
  </cacheSource>
  <cacheFields count="0"/>
  <cacheHierarchies count="90">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0" memberValueDatatype="130" unbalanced="0"/>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0"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0"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2"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ies>
  <kpis count="0"/>
  <extLst>
    <ext xmlns:x14="http://schemas.microsoft.com/office/spreadsheetml/2009/9/main" uri="{725AE2AE-9491-48be-B2B4-4EB974FC3084}">
      <x14:pivotCacheDefinition slicerData="1" pivotCacheId="140218552"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5.765825115741" backgroundQuery="1" createdVersion="3" refreshedVersion="8" minRefreshableVersion="3" recordCount="0" supportSubquery="1" supportAdvancedDrill="1" xr:uid="{64FA5A9F-16A0-409D-BD47-F2D424BEE2B4}">
  <cacheSource type="external" connectionId="4">
    <extLst>
      <ext xmlns:x14="http://schemas.microsoft.com/office/spreadsheetml/2009/9/main" uri="{F057638F-6D5F-4e77-A914-E7F072B9BCA8}">
        <x14:sourceConnection name="ThisWorkbookDataModel"/>
      </ext>
    </extLst>
  </cacheSource>
  <cacheFields count="0"/>
  <cacheHierarchies count="92">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0" memberValueDatatype="130" unbalanced="0"/>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0" memberValueDatatype="130" unbalanced="0"/>
    <cacheHierarchy uniqueName="[bank_loan_data].[issue_date]" caption="issue_date" attribute="1" time="1" defaultMemberUniqueName="[bank_loan_data].[issue_date].[All]" allUniqueName="[bank_loan_data].[issue_date].[All]" dimensionUniqueName="[bank_loan_data]" displayFolder="" count="2"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0"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ies>
  <kpis count="0"/>
  <extLst>
    <ext xmlns:x14="http://schemas.microsoft.com/office/spreadsheetml/2009/9/main" uri="{725AE2AE-9491-48be-B2B4-4EB974FC3084}">
      <x14:pivotCacheDefinition pivotCacheId="74840295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29050926" backgroundQuery="1" createdVersion="8" refreshedVersion="8" minRefreshableVersion="3" recordCount="0" supportSubquery="1" supportAdvancedDrill="1" xr:uid="{FAEDBEE8-49D6-4671-B2FA-675A9E930C66}">
  <cacheSource type="external" connectionId="4"/>
  <cacheFields count="5">
    <cacheField name="[bank_loan_data].[issue_date (Month)].[issue_date (Month)]" caption="issue_date (Month)" numFmtId="0" hierarchy="27" level="1">
      <sharedItems count="12">
        <s v="Jan"/>
        <s v="Feb"/>
        <s v="Mar"/>
        <s v="Apr"/>
        <s v="May"/>
        <s v="Jun"/>
        <s v="Jul"/>
        <s v="Aug"/>
        <s v="Sep"/>
        <s v="Oct"/>
        <s v="Nov"/>
        <s v="Dec"/>
      </sharedItems>
    </cacheField>
    <cacheField name="[Measures].[Total Payment]" caption="Total Payment" numFmtId="0" hierarchy="52" level="32767"/>
    <cacheField name="[Measures].[Total Amount Disbursed]" caption="Total Amount Disbursed" numFmtId="0" hierarchy="54" level="32767"/>
    <cacheField name="[Measures].[expected total payment]" caption="expected total payment" numFmtId="0" hierarchy="51"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4"/>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0"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0"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2" memberValueDatatype="130" unbalanced="0">
      <fieldsUsage count="2">
        <fieldUsage x="-1"/>
        <fieldUsage x="0"/>
      </fieldsUsage>
    </cacheHierarchy>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oneField="1">
      <fieldsUsage count="1">
        <fieldUsage x="3"/>
      </fieldsUsage>
    </cacheHierarchy>
    <cacheHierarchy uniqueName="[Measures].[Total Payment]" caption="Total Payment" measure="1" displayFolder="" measureGroup="bank_loan_data" count="0" oneField="1">
      <fieldsUsage count="1">
        <fieldUsage x="1"/>
      </fieldsUsage>
    </cacheHierarchy>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oneField="1">
      <fieldsUsage count="1">
        <fieldUsage x="2"/>
      </fieldsUsage>
    </cacheHierarchy>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30555558" backgroundQuery="1" createdVersion="8" refreshedVersion="8" minRefreshableVersion="3" recordCount="0" supportSubquery="1" supportAdvancedDrill="1" xr:uid="{E25BBC25-344E-4256-8332-808764D423CA}">
  <cacheSource type="external" connectionId="4"/>
  <cacheFields count="3">
    <cacheField name="[Measures].[Total Disbursed Loans]" caption="Total Disbursed Loans" numFmtId="0" hierarchy="53" level="32767"/>
    <cacheField name="[bank_loan_data].[home_ownership].[home_ownership]" caption="home_ownership" numFmtId="0" hierarchy="7" level="1">
      <sharedItems count="5">
        <s v="MORTGAGE"/>
        <s v="NONE"/>
        <s v="OTHER"/>
        <s v="OWN"/>
        <s v="RENT"/>
      </sharedItems>
    </cacheField>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2"/>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fieldsUsage count="2">
        <fieldUsage x="-1"/>
        <fieldUsage x="1"/>
      </fieldsUsage>
    </cacheHierarchy>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0"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0"/>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32060182" backgroundQuery="1" createdVersion="8" refreshedVersion="8" minRefreshableVersion="3" recordCount="0" supportSubquery="1" supportAdvancedDrill="1" xr:uid="{41830395-BEFF-4D01-8E1F-B5D28AE5E9E9}">
  <cacheSource type="external" connectionId="4"/>
  <cacheFields count="3">
    <cacheField name="[bank_loan_data].[home_ownership].[home_ownership]" caption="home_ownership" numFmtId="0" hierarchy="7" level="1">
      <sharedItems count="5">
        <s v="MORTGAGE"/>
        <s v="NONE"/>
        <s v="OTHER"/>
        <s v="OWN"/>
        <s v="RENT"/>
      </sharedItems>
    </cacheField>
    <cacheField name="[Measures].[Total Amount Disbursed]" caption="Total Amount Disbursed" numFmtId="0" hierarchy="54"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2"/>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fieldsUsage count="2">
        <fieldUsage x="-1"/>
        <fieldUsage x="0"/>
      </fieldsUsage>
    </cacheHierarchy>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0"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oneField="1">
      <fieldsUsage count="1">
        <fieldUsage x="1"/>
      </fieldsUsage>
    </cacheHierarchy>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35185184" backgroundQuery="1" createdVersion="8" refreshedVersion="8" minRefreshableVersion="3" recordCount="0" supportSubquery="1" supportAdvancedDrill="1" xr:uid="{2F5DE191-45E1-4075-AB7A-F3FE1B7B006B}">
  <cacheSource type="external" connectionId="4"/>
  <cacheFields count="4">
    <cacheField name="[bank_loan_data].[term_months].[term_months]" caption="term_months" numFmtId="0" hierarchy="17" level="1">
      <sharedItems containsSemiMixedTypes="0" containsString="0" containsNumber="1" containsInteger="1" minValue="36" maxValue="60" count="2">
        <n v="36"/>
        <n v="60"/>
      </sharedItems>
      <extLst>
        <ext xmlns:x15="http://schemas.microsoft.com/office/spreadsheetml/2010/11/main" uri="{4F2E5C28-24EA-4eb8-9CBF-B6C8F9C3D259}">
          <x15:cachedUniqueNames>
            <x15:cachedUniqueName index="0" name="[bank_loan_data].[term_months].&amp;[36]"/>
            <x15:cachedUniqueName index="1" name="[bank_loan_data].[term_months].&amp;[60]"/>
          </x15:cachedUniqueNames>
        </ext>
      </extLst>
    </cacheField>
    <cacheField name="[Measures].[Total Disbursed Loans]" caption="Total Disbursed Loans" numFmtId="0" hierarchy="53" level="32767"/>
    <cacheField name="[bank_loan_data].[loan_status].[loan_status]" caption="loan_status" numFmtId="0" hierarchy="11" level="1">
      <sharedItems count="3">
        <s v="Charged Off"/>
        <s v="Current"/>
        <s v="Fully Paid"/>
      </sharedItems>
    </cacheField>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3"/>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fieldsUsage count="2">
        <fieldUsage x="-1"/>
        <fieldUsage x="2"/>
      </fieldsUsage>
    </cacheHierarchy>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2" memberValueDatatype="20" unbalanced="0">
      <fieldsUsage count="2">
        <fieldUsage x="-1"/>
        <fieldUsage x="0"/>
      </fieldsUsage>
    </cacheHierarchy>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1"/>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36574077" backgroundQuery="1" createdVersion="8" refreshedVersion="8" minRefreshableVersion="3" recordCount="0" supportSubquery="1" supportAdvancedDrill="1" xr:uid="{1B58F94B-D035-47B6-9E55-EED065401C76}">
  <cacheSource type="external" connectionId="4"/>
  <cacheFields count="4">
    <cacheField name="[Measures].[Total Disbursed Loans]" caption="Total Disbursed Loans" numFmtId="0" hierarchy="53" level="32767"/>
    <cacheField name="[bank_loan_data].[repayment_efficiency_flag].[repayment_efficiency_flag]" caption="repayment_efficiency_flag" numFmtId="0" hierarchy="37" level="1">
      <sharedItems count="5">
        <s v="Defaulted/Charged Off"/>
        <s v="Early Payoff"/>
        <s v="In Progress"/>
        <s v="Paid on Schedule"/>
        <s v="Paid with Extra/Interest"/>
      </sharedItems>
    </cacheField>
    <cacheField name="[bank_loan_data].[issue_date (Month)].[issue_date (Month)]" caption="issue_date (Month)" numFmtId="0" hierarchy="27" level="1">
      <sharedItems count="12">
        <s v="Jan"/>
        <s v="Feb"/>
        <s v="Mar"/>
        <s v="Apr"/>
        <s v="May"/>
        <s v="Jun"/>
        <s v="Jul"/>
        <s v="Aug"/>
        <s v="Sep"/>
        <s v="Oct"/>
        <s v="Nov"/>
        <s v="Dec"/>
      </sharedItems>
    </cacheField>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3"/>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0" memberValueDatatype="130" unbalanced="0"/>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2" memberValueDatatype="130" unbalanced="0">
      <fieldsUsage count="2">
        <fieldUsage x="-1"/>
        <fieldUsage x="2"/>
      </fieldsUsage>
    </cacheHierarchy>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2" memberValueDatatype="130" unbalanced="0">
      <fieldsUsage count="2">
        <fieldUsage x="-1"/>
        <fieldUsage x="1"/>
      </fieldsUsage>
    </cacheHierarchy>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0"/>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37962963" backgroundQuery="1" createdVersion="8" refreshedVersion="8" minRefreshableVersion="3" recordCount="0" supportSubquery="1" supportAdvancedDrill="1" xr:uid="{3D67A4BB-D7D7-4E5B-A0EF-E29C2464425D}">
  <cacheSource type="external" connectionId="4"/>
  <cacheFields count="4">
    <cacheField name="[bank_loan_data].[address_state].[address_state]" caption="address_state" numFmtId="0" hierarchy="1" level="1">
      <sharedItems count="5">
        <s v="CA"/>
        <s v="FL"/>
        <s v="NJ"/>
        <s v="NY"/>
        <s v="TX"/>
      </sharedItems>
    </cacheField>
    <cacheField name="[Measures].[Total Disbursed Loans]" caption="Total Disbursed Loans" numFmtId="0" hierarchy="53" level="32767"/>
    <cacheField name="[bank_loan_data].[grade].[grade]" caption="grade" numFmtId="0" hierarchy="5" level="1">
      <sharedItems count="7">
        <s v="A"/>
        <s v="B"/>
        <s v="C"/>
        <s v="D"/>
        <s v="E"/>
        <s v="F"/>
        <s v="G"/>
      </sharedItems>
    </cacheField>
    <cacheField name="[bank_loan_data].[loan_status].[loan_status]" caption="loan_status" numFmtId="0" hierarchy="11" level="1">
      <sharedItems count="3">
        <s v="Charged Off"/>
        <s v="Current"/>
        <s v="Fully Paid"/>
      </sharedItems>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0"/>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2"/>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0"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fieldsUsage count="2">
        <fieldUsage x="-1"/>
        <fieldUsage x="3"/>
      </fieldsUsage>
    </cacheHierarchy>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oneField="1">
      <fieldsUsage count="1">
        <fieldUsage x="1"/>
      </fieldsUsage>
    </cacheHierarchy>
    <cacheHierarchy uniqueName="[Measures].[Total Amount Disbursed]" caption="Total Amount Disbursed" measure="1" displayFolder="" measureGroup="bank_loan_data" count="0"/>
    <cacheHierarchy uniqueName="[Measures].[Avg DTI]" caption="Avg DTI" measure="1" displayFolder="" measureGroup="bank_loan_data" count="0"/>
    <cacheHierarchy uniqueName="[Measures].[Avg Interest Rate]" caption="Avg Interest Rate" measure="1" displayFolder="" measureGroup="bank_loan_data" count="0"/>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789.770239467594" backgroundQuery="1" createdVersion="8" refreshedVersion="8" minRefreshableVersion="3" recordCount="0" supportSubquery="1" supportAdvancedDrill="1" xr:uid="{9B877186-2193-4B25-A807-3A6D43D2E27F}">
  <cacheSource type="external" connectionId="4"/>
  <cacheFields count="4">
    <cacheField name="[bank_loan_data].[grade].[grade]" caption="grade" numFmtId="0" hierarchy="5" level="1">
      <sharedItems count="7">
        <s v="A"/>
        <s v="B"/>
        <s v="C"/>
        <s v="D"/>
        <s v="E"/>
        <s v="F"/>
        <s v="G"/>
      </sharedItems>
    </cacheField>
    <cacheField name="[Measures].[Avg DTI]" caption="Avg DTI" numFmtId="0" hierarchy="55" level="32767"/>
    <cacheField name="[Measures].[Avg Interest Rate]" caption="Avg Interest Rate" numFmtId="0" hierarchy="56" level="32767"/>
    <cacheField name="[bank_loan_data].[address_state].[address_state]" caption="address_state" numFmtId="0" hierarchy="1" level="1">
      <sharedItems containsSemiMixedTypes="0" containsNonDate="0" containsString="0"/>
    </cacheField>
  </cacheFields>
  <cacheHierarchies count="93">
    <cacheHierarchy uniqueName="[bank_loan_data].[id]" caption="id" attribute="1" defaultMemberUniqueName="[bank_loan_data].[id].[All]" allUniqueName="[bank_loan_data].[id].[All]" dimensionUniqueName="[bank_loan_data]" displayFolder="" count="0" memberValueDatatype="20" unbalanced="0"/>
    <cacheHierarchy uniqueName="[bank_loan_data].[address_state]" caption="address_state" attribute="1" defaultMemberUniqueName="[bank_loan_data].[address_state].[All]" allUniqueName="[bank_loan_data].[address_state].[All]" dimensionUniqueName="[bank_loan_data]" displayFolder="" count="2" memberValueDatatype="130" unbalanced="0">
      <fieldsUsage count="2">
        <fieldUsage x="-1"/>
        <fieldUsage x="3"/>
      </fieldsUsage>
    </cacheHierarchy>
    <cacheHierarchy uniqueName="[bank_loan_data].[application_type]" caption="application_type" attribute="1" defaultMemberUniqueName="[bank_loan_data].[application_type].[All]" allUniqueName="[bank_loan_data].[application_type].[All]" dimensionUniqueName="[bank_loan_data]" displayFolder="" count="0" memberValueDatatype="130" unbalanced="0"/>
    <cacheHierarchy uniqueName="[bank_loan_data].[emp_length]" caption="emp_length" attribute="1" defaultMemberUniqueName="[bank_loan_data].[emp_length].[All]" allUniqueName="[bank_loan_data].[emp_length].[All]" dimensionUniqueName="[bank_loan_data]" displayFolder="" count="0" memberValueDatatype="130" unbalanced="0"/>
    <cacheHierarchy uniqueName="[bank_loan_data].[emp_title]" caption="emp_title" attribute="1" defaultMemberUniqueName="[bank_loan_data].[emp_title].[All]" allUniqueName="[bank_loan_data].[emp_title].[All]" dimensionUniqueName="[bank_loan_data]" displayFolder="" count="0" memberValueDatatype="130" unbalanced="0"/>
    <cacheHierarchy uniqueName="[bank_loan_data].[grade]" caption="grade" attribute="1" defaultMemberUniqueName="[bank_loan_data].[grade].[All]" allUniqueName="[bank_loan_data].[grade].[All]" dimensionUniqueName="[bank_loan_data]" displayFolder="" count="2" memberValueDatatype="130" unbalanced="0">
      <fieldsUsage count="2">
        <fieldUsage x="-1"/>
        <fieldUsage x="0"/>
      </fieldsUsage>
    </cacheHierarchy>
    <cacheHierarchy uniqueName="[bank_loan_data].[sub_grade]" caption="sub_grade" attribute="1" defaultMemberUniqueName="[bank_loan_data].[sub_grade].[All]" allUniqueName="[bank_loan_data].[sub_grade].[All]" dimensionUniqueName="[bank_loan_data]" displayFolder="" count="0" memberValueDatatype="130" unbalanced="0"/>
    <cacheHierarchy uniqueName="[bank_loan_data].[home_ownership]" caption="home_ownership" attribute="1" defaultMemberUniqueName="[bank_loan_data].[home_ownership].[All]" allUniqueName="[bank_loan_data].[home_ownership].[All]" dimensionUniqueName="[bank_loan_data]" displayFolder="" count="2" memberValueDatatype="130" unbalanced="0"/>
    <cacheHierarchy uniqueName="[bank_loan_data].[issue_date]" caption="issue_date" attribute="1" time="1" defaultMemberUniqueName="[bank_loan_data].[issue_date].[All]" allUniqueName="[bank_loan_data].[issue_date].[All]" dimensionUniqueName="[bank_loan_data]" displayFolder="" count="0" memberValueDatatype="7" unbalanced="0"/>
    <cacheHierarchy uniqueName="[bank_loan_data].[last_credit_pull_date]" caption="last_credit_pull_date" attribute="1" time="1" defaultMemberUniqueName="[bank_loan_data].[last_credit_pull_date].[All]" allUniqueName="[bank_loan_data].[last_credit_pull_date].[All]" dimensionUniqueName="[bank_loan_data]" displayFolder="" count="0" memberValueDatatype="7" unbalanced="0"/>
    <cacheHierarchy uniqueName="[bank_loan_data].[last_payment_date]" caption="last_payment_date" attribute="1" time="1" defaultMemberUniqueName="[bank_loan_data].[last_payment_date].[All]" allUniqueName="[bank_loan_data].[last_payment_date].[All]" dimensionUniqueName="[bank_loan_data]" displayFolder="" count="0" memberValueDatatype="7" unbalanced="0"/>
    <cacheHierarchy uniqueName="[bank_loan_data].[loan_status]" caption="loan_status" attribute="1" defaultMemberUniqueName="[bank_loan_data].[loan_status].[All]" allUniqueName="[bank_loan_data].[loan_status].[All]" dimensionUniqueName="[bank_loan_data]" displayFolder="" count="2" memberValueDatatype="130" unbalanced="0"/>
    <cacheHierarchy uniqueName="[bank_loan_data].[Loan Quality]" caption="Loan Quality" attribute="1" defaultMemberUniqueName="[bank_loan_data].[Loan Quality].[All]" allUniqueName="[bank_loan_data].[Loan Quality].[All]" dimensionUniqueName="[bank_loan_data]" displayFolder="" count="0" memberValueDatatype="130" unbalanced="0"/>
    <cacheHierarchy uniqueName="[bank_loan_data].[next_payment_date]" caption="next_payment_date" attribute="1" time="1" defaultMemberUniqueName="[bank_loan_data].[next_payment_date].[All]" allUniqueName="[bank_loan_data].[next_payment_date].[All]" dimensionUniqueName="[bank_loan_data]" displayFolder="" count="0" memberValueDatatype="7" unbalanced="0"/>
    <cacheHierarchy uniqueName="[bank_loan_data].[member_id]" caption="member_id" attribute="1" defaultMemberUniqueName="[bank_loan_data].[member_id].[All]" allUniqueName="[bank_loan_data].[member_id].[All]" dimensionUniqueName="[bank_loan_data]" displayFolder="" count="0" memberValueDatatype="20" unbalanced="0"/>
    <cacheHierarchy uniqueName="[bank_loan_data].[purpose]" caption="purpose" attribute="1" defaultMemberUniqueName="[bank_loan_data].[purpose].[All]" allUniqueName="[bank_loan_data].[purpose].[All]" dimensionUniqueName="[bank_loan_data]" displayFolder="" count="0" memberValueDatatype="130" unbalanced="0"/>
    <cacheHierarchy uniqueName="[bank_loan_data].[verification_status]" caption="verification_status" attribute="1" defaultMemberUniqueName="[bank_loan_data].[verification_status].[All]" allUniqueName="[bank_loan_data].[verification_status].[All]" dimensionUniqueName="[bank_loan_data]" displayFolder="" count="0" memberValueDatatype="130" unbalanced="0"/>
    <cacheHierarchy uniqueName="[bank_loan_data].[term_months]" caption="term_months" attribute="1" defaultMemberUniqueName="[bank_loan_data].[term_months].[All]" allUniqueName="[bank_loan_data].[term_months].[All]" dimensionUniqueName="[bank_loan_data]" displayFolder="" count="0" memberValueDatatype="20" unbalanced="0"/>
    <cacheHierarchy uniqueName="[bank_loan_data].[annual_income]" caption="annual_income" attribute="1" defaultMemberUniqueName="[bank_loan_data].[annual_income].[All]" allUniqueName="[bank_loan_data].[annual_income].[All]" dimensionUniqueName="[bank_loan_data]" displayFolder="" count="0" memberValueDatatype="5" unbalanced="0"/>
    <cacheHierarchy uniqueName="[bank_loan_data].[dti]" caption="dti" attribute="1" defaultMemberUniqueName="[bank_loan_data].[dti].[All]" allUniqueName="[bank_loan_data].[dti].[All]" dimensionUniqueName="[bank_loan_data]" displayFolder="" count="0" memberValueDatatype="5" unbalanced="0"/>
    <cacheHierarchy uniqueName="[bank_loan_data].[installment]" caption="installment" attribute="1" defaultMemberUniqueName="[bank_loan_data].[installment].[All]" allUniqueName="[bank_loan_data].[installment].[All]" dimensionUniqueName="[bank_loan_data]" displayFolder="" count="0" memberValueDatatype="5" unbalanced="0"/>
    <cacheHierarchy uniqueName="[bank_loan_data].[int_rate]" caption="int_rate" attribute="1" defaultMemberUniqueName="[bank_loan_data].[int_rate].[All]" allUniqueName="[bank_loan_data].[int_rate].[All]" dimensionUniqueName="[bank_loan_data]" displayFolder="" count="0" memberValueDatatype="5" unbalanced="0"/>
    <cacheHierarchy uniqueName="[bank_loan_data].[loan_amount]" caption="loan_amount" attribute="1" defaultMemberUniqueName="[bank_loan_data].[loan_amount].[All]" allUniqueName="[bank_loan_data].[loan_amount].[All]" dimensionUniqueName="[bank_loan_data]" displayFolder="" count="0" memberValueDatatype="5" unbalanced="0"/>
    <cacheHierarchy uniqueName="[bank_loan_data].[total_acc]" caption="total_acc" attribute="1" defaultMemberUniqueName="[bank_loan_data].[total_acc].[All]" allUniqueName="[bank_loan_data].[total_acc].[All]" dimensionUniqueName="[bank_loan_data]" displayFolder="" count="0" memberValueDatatype="20" unbalanced="0"/>
    <cacheHierarchy uniqueName="[bank_loan_data].[total_payment]" caption="total_payment" attribute="1" defaultMemberUniqueName="[bank_loan_data].[total_payment].[All]" allUniqueName="[bank_loan_data].[total_payment].[All]" dimensionUniqueName="[bank_loan_data]" displayFolder="" count="0" memberValueDatatype="5" unbalanced="0"/>
    <cacheHierarchy uniqueName="[bank_loan_data].[DTI Flag]" caption="DTI Flag" attribute="1" defaultMemberUniqueName="[bank_loan_data].[DTI Flag].[All]" allUniqueName="[bank_loan_data].[DTI Flag].[All]" dimensionUniqueName="[bank_loan_data]" displayFolder="" count="0" memberValueDatatype="130" unbalanced="0"/>
    <cacheHierarchy uniqueName="[bank_loan_data].[expected_total_payment]" caption="expected_total_payment" attribute="1" defaultMemberUniqueName="[bank_loan_data].[expected_total_payment].[All]" allUniqueName="[bank_loan_data].[expected_total_payment].[All]" dimensionUniqueName="[bank_loan_data]" displayFolder="" count="0" memberValueDatatype="5" unbalanced="0"/>
    <cacheHierarchy uniqueName="[bank_loan_data].[issue_date (Month)]" caption="issue_date (Month)" attribute="1" defaultMemberUniqueName="[bank_loan_data].[issue_date (Month)].[All]" allUniqueName="[bank_loan_data].[issue_date (Month)].[All]" dimensionUniqueName="[bank_loan_data]" displayFolder="" count="0" memberValueDatatype="130" unbalanced="0"/>
    <cacheHierarchy uniqueName="[bank_loan_data].[RiskFlag]" caption="RiskFlag" attribute="1" defaultMemberUniqueName="[bank_loan_data].[RiskFlag].[All]" allUniqueName="[bank_loan_data].[RiskFlag].[All]" dimensionUniqueName="[bank_loan_data]" displayFolder="" count="0" memberValueDatatype="130" unbalanced="0"/>
    <cacheHierarchy uniqueName="[bank_loan_data].[unemployment_rate]" caption="unemployment_rate" attribute="1" defaultMemberUniqueName="[bank_loan_data].[unemployment_rate].[All]" allUniqueName="[bank_loan_data].[unemployment_rate].[All]" dimensionUniqueName="[bank_loan_data]" displayFolder="" count="0" memberValueDatatype="5" unbalanced="0"/>
    <cacheHierarchy uniqueName="[bank_loan_data].[state_unemployment_flag]" caption="state_unemployment_flag" attribute="1" defaultMemberUniqueName="[bank_loan_data].[state_unemployment_flag].[All]" allUniqueName="[bank_loan_data].[state_unemployment_flag].[All]" dimensionUniqueName="[bank_loan_data]" displayFolder="" count="0" memberValueDatatype="130" unbalanced="0"/>
    <cacheHierarchy uniqueName="[bank_loan_data].[Duplicate_Flag]" caption="Duplicate_Flag" attribute="1" defaultMemberUniqueName="[bank_loan_data].[Duplicate_Flag].[All]" allUniqueName="[bank_loan_data].[Duplicate_Flag].[All]" dimensionUniqueName="[bank_loan_data]" displayFolder="" count="0" memberValueDatatype="130" unbalanced="0"/>
    <cacheHierarchy uniqueName="[bank_loan_data].[fraud_detection_flag]" caption="fraud_detection_flag" attribute="1" defaultMemberUniqueName="[bank_loan_data].[fraud_detection_flag].[All]" allUniqueName="[bank_loan_data].[fraud_detection_flag].[All]" dimensionUniqueName="[bank_loan_data]" displayFolder="" count="0" memberValueDatatype="130" unbalanced="0"/>
    <cacheHierarchy uniqueName="[bank_loan_data].[ownership_flag]" caption="ownership_flag" attribute="1" defaultMemberUniqueName="[bank_loan_data].[ownership_flag].[All]" allUniqueName="[bank_loan_data].[ownership_flag].[All]" dimensionUniqueName="[bank_loan_data]" displayFolder="" count="0" memberValueDatatype="11" unbalanced="0"/>
    <cacheHierarchy uniqueName="[bank_loan_data].[underpaid_loans_flag]" caption="underpaid_loans_flag" attribute="1" defaultMemberUniqueName="[bank_loan_data].[underpaid_loans_flag].[All]" allUniqueName="[bank_loan_data].[underpaid_loans_flag].[All]" dimensionUniqueName="[bank_loan_data]" displayFolder="" count="0" memberValueDatatype="130" unbalanced="0"/>
    <cacheHierarchy uniqueName="[bank_loan_data].[borrower_experience_flag]" caption="borrower_experience_flag" attribute="1" defaultMemberUniqueName="[bank_loan_data].[borrower_experience_flag].[All]" allUniqueName="[bank_loan_data].[borrower_experience_flag].[All]" dimensionUniqueName="[bank_loan_data]" displayFolder="" count="0" memberValueDatatype="130" unbalanced="0"/>
    <cacheHierarchy uniqueName="[bank_loan_data].[repayment_efficiency_ratio]" caption="repayment_efficiency_ratio" attribute="1" defaultMemberUniqueName="[bank_loan_data].[repayment_efficiency_ratio].[All]" allUniqueName="[bank_loan_data].[repayment_efficiency_ratio].[All]" dimensionUniqueName="[bank_loan_data]" displayFolder="" count="0" memberValueDatatype="5" unbalanced="0"/>
    <cacheHierarchy uniqueName="[bank_loan_data].[repayment_efficiency_flag]" caption="repayment_efficiency_flag" attribute="1" defaultMemberUniqueName="[bank_loan_data].[repayment_efficiency_flag].[All]" allUniqueName="[bank_loan_data].[repayment_efficiency_flag].[All]" dimensionUniqueName="[bank_loan_data]" displayFolder="" count="0" memberValueDatatype="130" unbalanced="0"/>
    <cacheHierarchy uniqueName="[bank_loan_data].[State_Name]" caption="State_Name" attribute="1" defaultMemberUniqueName="[bank_loan_data].[State_Name].[All]" allUniqueName="[bank_loan_data].[State_Name].[All]" dimensionUniqueName="[bank_loan_data]" displayFolder="" count="0" memberValueDatatype="130" unbalanced="0"/>
    <cacheHierarchy uniqueName="[raw_data].[Content]" caption="Content" attribute="1" defaultMemberUniqueName="[raw_data].[Content].[All]" allUniqueName="[raw_data].[Content].[All]" dimensionUniqueName="[raw_data]" displayFolder="" count="0" memberValueDatatype="130" unbalanced="0"/>
    <cacheHierarchy uniqueName="[raw_data].[Name]" caption="Name" attribute="1" defaultMemberUniqueName="[raw_data].[Name].[All]" allUniqueName="[raw_data].[Name].[All]" dimensionUniqueName="[raw_data]" displayFolder="" count="0" memberValueDatatype="130" unbalanced="0"/>
    <cacheHierarchy uniqueName="[raw_data].[Extension]" caption="Extension" attribute="1" defaultMemberUniqueName="[raw_data].[Extension].[All]" allUniqueName="[raw_data].[Extension].[All]" dimensionUniqueName="[raw_data]" displayFolder="" count="0" memberValueDatatype="130" unbalanced="0"/>
    <cacheHierarchy uniqueName="[raw_data].[Date accessed]" caption="Date accessed" attribute="1" time="1" defaultMemberUniqueName="[raw_data].[Date accessed].[All]" allUniqueName="[raw_data].[Date accessed].[All]" dimensionUniqueName="[raw_data]" displayFolder="" count="0" memberValueDatatype="7" unbalanced="0"/>
    <cacheHierarchy uniqueName="[raw_data].[Date modified]" caption="Date modified" attribute="1" time="1" defaultMemberUniqueName="[raw_data].[Date modified].[All]" allUniqueName="[raw_data].[Date modified].[All]" dimensionUniqueName="[raw_data]" displayFolder="" count="0" memberValueDatatype="7" unbalanced="0"/>
    <cacheHierarchy uniqueName="[raw_data].[Date created]" caption="Date created" attribute="1" time="1" defaultMemberUniqueName="[raw_data].[Date created].[All]" allUniqueName="[raw_data].[Date created].[All]" dimensionUniqueName="[raw_data]" displayFolder="" count="0" memberValueDatatype="7" unbalanced="0"/>
    <cacheHierarchy uniqueName="[raw_data].[Folder Path]" caption="Folder Path" attribute="1" defaultMemberUniqueName="[raw_data].[Folder Path].[All]" allUniqueName="[raw_data].[Folder Path].[All]" dimensionUniqueName="[raw_data]" displayFolder="" count="0" memberValueDatatype="130" unbalanced="0"/>
    <cacheHierarchy uniqueName="[unemplyoment_rate].[state_abbreviation]" caption="state_abbreviation" attribute="1" defaultMemberUniqueName="[unemplyoment_rate].[state_abbreviation].[All]" allUniqueName="[unemplyoment_rate].[state_abbreviation].[All]" dimensionUniqueName="[unemplyoment_rate]" displayFolder="" count="0" memberValueDatatype="130" unbalanced="0"/>
    <cacheHierarchy uniqueName="[unemplyoment_rate].[Name]" caption="Name" attribute="1" defaultMemberUniqueName="[unemplyoment_rate].[Name].[All]" allUniqueName="[unemplyoment_rate].[Name].[All]" dimensionUniqueName="[unemplyoment_rate]" displayFolder="" count="0" memberValueDatatype="130" unbalanced="0"/>
    <cacheHierarchy uniqueName="[unemplyoment_rate].[unemployment_rate]" caption="unemployment_rate" attribute="1" defaultMemberUniqueName="[unemplyoment_rate].[unemployment_rate].[All]" allUniqueName="[unemplyoment_rate].[unemployment_rate].[All]" dimensionUniqueName="[unemplyoment_rate]" displayFolder="" count="0" memberValueDatatype="5" unbalanced="0"/>
    <cacheHierarchy uniqueName="[bank_loan_data].[issue_date (Month Index)]" caption="issue_date (Month Index)" attribute="1" defaultMemberUniqueName="[bank_loan_data].[issue_date (Month Index)].[All]" allUniqueName="[bank_loan_data].[issue_date (Month Index)].[All]" dimensionUniqueName="[bank_loan_data]" displayFolder="" count="0" memberValueDatatype="20" unbalanced="0" hidden="1"/>
    <cacheHierarchy uniqueName="[Measures].[Expected Loan Growth]" caption="Expected Loan Growth" measure="1" displayFolder="" measureGroup="bank_loan_data" count="0"/>
    <cacheHierarchy uniqueName="[Measures].[expected total payment]" caption="expected total payment" measure="1" displayFolder="" measureGroup="bank_loan_data" count="0"/>
    <cacheHierarchy uniqueName="[Measures].[Total Payment]" caption="Total Payment" measure="1" displayFolder="" measureGroup="bank_loan_data" count="0"/>
    <cacheHierarchy uniqueName="[Measures].[Total Disbursed Loans]" caption="Total Disbursed Loans" measure="1" displayFolder="" measureGroup="bank_loan_data" count="0"/>
    <cacheHierarchy uniqueName="[Measures].[Total Amount Disbursed]" caption="Total Amount Disbursed" measure="1" displayFolder="" measureGroup="bank_loan_data" count="0"/>
    <cacheHierarchy uniqueName="[Measures].[Avg DTI]" caption="Avg DTI" measure="1" displayFolder="" measureGroup="bank_loan_data" count="0" oneField="1">
      <fieldsUsage count="1">
        <fieldUsage x="1"/>
      </fieldsUsage>
    </cacheHierarchy>
    <cacheHierarchy uniqueName="[Measures].[Avg Interest Rate]" caption="Avg Interest Rate" measure="1" displayFolder="" measureGroup="bank_loan_data" count="0" oneField="1">
      <fieldsUsage count="1">
        <fieldUsage x="2"/>
      </fieldsUsage>
    </cacheHierarchy>
    <cacheHierarchy uniqueName="[Measures].[Expected paid %]" caption="Expected paid %" measure="1" displayFolder="" measureGroup="bank_loan_data" count="0"/>
    <cacheHierarchy uniqueName="[Measures].[% Fraud Loans]" caption="% Fraud Loans" measure="1" displayFolder="" measureGroup="bank_loan_data" count="0"/>
    <cacheHierarchy uniqueName="[Measures].[Active Loans]" caption="Active Loans" measure="1" displayFolder="" measureGroup="bank_loan_data" count="0"/>
    <cacheHierarchy uniqueName="[Measures].[Charged Off/Defaulted Loans]" caption="Charged Off/Defaulted Loans" measure="1" displayFolder="" measureGroup="bank_loan_data" count="0"/>
    <cacheHierarchy uniqueName="[Measures].[Closed Loans]" caption="Closed Loans" measure="1" displayFolder="" measureGroup="bank_loan_data" count="0"/>
    <cacheHierarchy uniqueName="[Measures].[% Charged Off Loans]" caption="% Charged Off Loans" measure="1" displayFolder="" measureGroup="bank_loan_data" count="0"/>
    <cacheHierarchy uniqueName="[Measures].[Risk % Loans]" caption="Risk % Loans" measure="1" displayFolder="" measureGroup="bank_loan_data" count="0"/>
    <cacheHierarchy uniqueName="[Measures].[No. of Clean Loans]" caption="No. of Clean Loans" measure="1" displayFolder="" measureGroup="bank_loan_data" count="0"/>
    <cacheHierarchy uniqueName="[Measures].[No. of Potential frauds]" caption="No. of Potential frauds" measure="1" displayFolder="" measureGroup="bank_loan_data" count="0"/>
    <cacheHierarchy uniqueName="[Measures].[No. of False ownership flags]" caption="No. of False ownership flags" measure="1" displayFolder="" measureGroup="bank_loan_data" count="0"/>
    <cacheHierarchy uniqueName="[Measures].[__XL_Count raw_data]" caption="__XL_Count raw_data" measure="1" displayFolder="" measureGroup="raw_data" count="0" hidden="1"/>
    <cacheHierarchy uniqueName="[Measures].[__XL_Count unemplyoment_rate]" caption="__XL_Count unemplyoment_rate" measure="1" displayFolder="" measureGroup="unemplyoment_rate" count="0" hidden="1"/>
    <cacheHierarchy uniqueName="[Measures].[__XL_Count bank_loan_data]" caption="__XL_Count bank_loan_data" measure="1" displayFolder="" measureGroup="bank_loan_data" count="0" hidden="1"/>
    <cacheHierarchy uniqueName="[Measures].[__No measures defined]" caption="__No measures defined" measure="1" displayFolder="" count="0" hidden="1"/>
    <cacheHierarchy uniqueName="[Measures].[Count of expected_total_payment]" caption="Count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Count of total_payment]" caption="Count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total_payment]" caption="Sum of total_payment" measure="1" displayFolder="" measureGroup="bank_loan_data" count="0" hidden="1">
      <extLst>
        <ext xmlns:x15="http://schemas.microsoft.com/office/spreadsheetml/2010/11/main" uri="{B97F6D7D-B522-45F9-BDA1-12C45D357490}">
          <x15:cacheHierarchy aggregatedColumn="24"/>
        </ext>
      </extLst>
    </cacheHierarchy>
    <cacheHierarchy uniqueName="[Measures].[Sum of expected_total_payment]" caption="Sum of expected_total_payment" measure="1" displayFolder="" measureGroup="bank_loan_data" count="0" hidden="1">
      <extLst>
        <ext xmlns:x15="http://schemas.microsoft.com/office/spreadsheetml/2010/11/main" uri="{B97F6D7D-B522-45F9-BDA1-12C45D357490}">
          <x15:cacheHierarchy aggregatedColumn="26"/>
        </ext>
      </extLst>
    </cacheHierarchy>
    <cacheHierarchy uniqueName="[Measures].[Sum of unemployment_rate]" caption="Sum of unemployment_rate" measure="1" displayFolder="" measureGroup="bank_loan_data" count="0" hidden="1">
      <extLst>
        <ext xmlns:x15="http://schemas.microsoft.com/office/spreadsheetml/2010/11/main" uri="{B97F6D7D-B522-45F9-BDA1-12C45D357490}">
          <x15:cacheHierarchy aggregatedColumn="29"/>
        </ext>
      </extLst>
    </cacheHierarchy>
    <cacheHierarchy uniqueName="[Measures].[Count of RiskFlag]" caption="Count of RiskFlag" measure="1" displayFolder="" measureGroup="bank_loan_data" count="0" hidden="1">
      <extLst>
        <ext xmlns:x15="http://schemas.microsoft.com/office/spreadsheetml/2010/11/main" uri="{B97F6D7D-B522-45F9-BDA1-12C45D357490}">
          <x15:cacheHierarchy aggregatedColumn="28"/>
        </ext>
      </extLst>
    </cacheHierarchy>
    <cacheHierarchy uniqueName="[Measures].[Count of fraud_detection_flag]" caption="Count of fraud_detection_flag" measure="1" displayFolder="" measureGroup="bank_loan_data" count="0" hidden="1">
      <extLst>
        <ext xmlns:x15="http://schemas.microsoft.com/office/spreadsheetml/2010/11/main" uri="{B97F6D7D-B522-45F9-BDA1-12C45D357490}">
          <x15:cacheHierarchy aggregatedColumn="32"/>
        </ext>
      </extLst>
    </cacheHierarchy>
    <cacheHierarchy uniqueName="[Measures].[Count of DTI Flag]" caption="Count of DTI Flag" measure="1" displayFolder="" measureGroup="bank_loan_data" count="0" hidden="1">
      <extLst>
        <ext xmlns:x15="http://schemas.microsoft.com/office/spreadsheetml/2010/11/main" uri="{B97F6D7D-B522-45F9-BDA1-12C45D357490}">
          <x15:cacheHierarchy aggregatedColumn="25"/>
        </ext>
      </extLst>
    </cacheHierarchy>
    <cacheHierarchy uniqueName="[Measures].[Count of emp_length]" caption="Count of emp_length" measure="1" displayFolder="" measureGroup="bank_loan_data" count="0" hidden="1">
      <extLst>
        <ext xmlns:x15="http://schemas.microsoft.com/office/spreadsheetml/2010/11/main" uri="{B97F6D7D-B522-45F9-BDA1-12C45D357490}">
          <x15:cacheHierarchy aggregatedColumn="3"/>
        </ext>
      </extLst>
    </cacheHierarchy>
    <cacheHierarchy uniqueName="[Measures].[Count of home_ownership]" caption="Count of home_ownership" measure="1" displayFolder="" measureGroup="bank_loan_data" count="0" hidden="1">
      <extLst>
        <ext xmlns:x15="http://schemas.microsoft.com/office/spreadsheetml/2010/11/main" uri="{B97F6D7D-B522-45F9-BDA1-12C45D357490}">
          <x15:cacheHierarchy aggregatedColumn="7"/>
        </ext>
      </extLst>
    </cacheHierarchy>
    <cacheHierarchy uniqueName="[Measures].[Count of Loan Quality]" caption="Count of Loan Quality" measure="1" displayFolder="" measureGroup="bank_loan_data" count="0" hidden="1">
      <extLst>
        <ext xmlns:x15="http://schemas.microsoft.com/office/spreadsheetml/2010/11/main" uri="{B97F6D7D-B522-45F9-BDA1-12C45D357490}">
          <x15:cacheHierarchy aggregatedColumn="12"/>
        </ext>
      </extLst>
    </cacheHierarchy>
    <cacheHierarchy uniqueName="[Measures].[Count of state_unemployment_flag]" caption="Count of state_unemployment_flag" measure="1" displayFolder="" measureGroup="bank_loan_data" count="0" hidden="1">
      <extLst>
        <ext xmlns:x15="http://schemas.microsoft.com/office/spreadsheetml/2010/11/main" uri="{B97F6D7D-B522-45F9-BDA1-12C45D357490}">
          <x15:cacheHierarchy aggregatedColumn="30"/>
        </ext>
      </extLst>
    </cacheHierarchy>
    <cacheHierarchy uniqueName="[Measures].[Sum of repayment_efficiency_ratio]" caption="Sum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Average of repayment_efficiency_ratio]" caption="Average of repayment_efficiency_ratio" measure="1" displayFolder="" measureGroup="bank_loan_data" count="0" hidden="1">
      <extLst>
        <ext xmlns:x15="http://schemas.microsoft.com/office/spreadsheetml/2010/11/main" uri="{B97F6D7D-B522-45F9-BDA1-12C45D357490}">
          <x15:cacheHierarchy aggregatedColumn="36"/>
        </ext>
      </extLst>
    </cacheHierarchy>
    <cacheHierarchy uniqueName="[Measures].[Count of ownership_flag]" caption="Count of ownership_flag" measure="1" displayFolder="" measureGroup="bank_loan_data" count="0" hidden="1">
      <extLst>
        <ext xmlns:x15="http://schemas.microsoft.com/office/spreadsheetml/2010/11/main" uri="{B97F6D7D-B522-45F9-BDA1-12C45D357490}">
          <x15:cacheHierarchy aggregatedColumn="33"/>
        </ext>
      </extLst>
    </cacheHierarchy>
    <cacheHierarchy uniqueName="[Measures].[Sum of annual_income]" caption="Sum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Average of annual_income]" caption="Average of annual_income" measure="1" displayFolder="" measureGroup="bank_loan_data" count="0" hidden="1">
      <extLst>
        <ext xmlns:x15="http://schemas.microsoft.com/office/spreadsheetml/2010/11/main" uri="{B97F6D7D-B522-45F9-BDA1-12C45D357490}">
          <x15:cacheHierarchy aggregatedColumn="18"/>
        </ext>
      </extLst>
    </cacheHierarchy>
    <cacheHierarchy uniqueName="[Measures].[Sum of loan_amount]" caption="Sum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Average of loan_amount]" caption="Average of loan_amount" measure="1" displayFolder="" measureGroup="bank_loan_data" count="0" hidden="1">
      <extLst>
        <ext xmlns:x15="http://schemas.microsoft.com/office/spreadsheetml/2010/11/main" uri="{B97F6D7D-B522-45F9-BDA1-12C45D357490}">
          <x15:cacheHierarchy aggregatedColumn="22"/>
        </ext>
      </extLst>
    </cacheHierarchy>
    <cacheHierarchy uniqueName="[Measures].[Sum of int_rate]" caption="Sum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int_rate]" caption="Average of int_rate" measure="1" displayFolder="" measureGroup="bank_loan_data" count="0" hidden="1">
      <extLst>
        <ext xmlns:x15="http://schemas.microsoft.com/office/spreadsheetml/2010/11/main" uri="{B97F6D7D-B522-45F9-BDA1-12C45D357490}">
          <x15:cacheHierarchy aggregatedColumn="21"/>
        </ext>
      </extLst>
    </cacheHierarchy>
    <cacheHierarchy uniqueName="[Measures].[Average of unemployment_rate]" caption="Average of unemployment_rate" measure="1" displayFolder="" measureGroup="bank_loan_data" count="0" hidden="1">
      <extLst>
        <ext xmlns:x15="http://schemas.microsoft.com/office/spreadsheetml/2010/11/main" uri="{B97F6D7D-B522-45F9-BDA1-12C45D357490}">
          <x15:cacheHierarchy aggregatedColumn="29"/>
        </ext>
      </extLst>
    </cacheHierarchy>
  </cacheHierarchies>
  <kpis count="0"/>
  <dimensions count="4">
    <dimension name="bank_loan_data" uniqueName="[bank_loan_data]" caption="bank_loan_data"/>
    <dimension measure="1" name="Measures" uniqueName="[Measures]" caption="Measures"/>
    <dimension name="raw_data" uniqueName="[raw_data]" caption="raw_data"/>
    <dimension name="unemplyoment_rate" uniqueName="[unemplyoment_rate]" caption="unemplyoment_rate"/>
  </dimensions>
  <measureGroups count="3">
    <measureGroup name="bank_loan_data" caption="bank_loan_data"/>
    <measureGroup name="raw_data" caption="raw_data"/>
    <measureGroup name="unemplyoment_rate" caption="unemplyoment_rate"/>
  </measureGroups>
  <maps count="4">
    <map measureGroup="0" dimension="0"/>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C5E0212-BF05-45A9-A4CA-ADE3F767AE7E}" name="PivotTable5" cacheId="0" dataOnRows="1" applyNumberFormats="0" applyBorderFormats="0" applyFontFormats="0" applyPatternFormats="0" applyAlignmentFormats="0" applyWidthHeightFormats="1" dataCaption="Values" tag="9307f320-2153-4b64-88b5-76b8644422ed" updatedVersion="8" minRefreshableVersion="3" subtotalHiddenItems="1" rowGrandTotals="0" colGrandTotals="0" itemPrintTitles="1" createdVersion="8" indent="0" multipleFieldFilters="0" chartFormat="12">
  <location ref="B39:C44"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i>
    <i>
      <x v="3"/>
    </i>
    <i>
      <x v="1"/>
    </i>
    <i>
      <x v="4"/>
    </i>
    <i>
      <x v="2"/>
    </i>
  </rowItems>
  <colItems count="1">
    <i/>
  </colItems>
  <dataFields count="1">
    <dataField fld="1" subtotal="count" baseField="0" baseItem="0"/>
  </dataFields>
  <formats count="1">
    <format dxfId="3">
      <pivotArea grandRow="1" outline="0" collapsedLevelsAreSubtotals="1" fieldPosition="0"/>
    </format>
  </formats>
  <chartFormats count="2">
    <chartFormat chart="5" format="2"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3" iMeasureHier="53">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AC8B1D6-8E54-4DC7-916E-73E309196FED}" name="PivotTable14" cacheId="172" applyNumberFormats="0" applyBorderFormats="0" applyFontFormats="0" applyPatternFormats="0" applyAlignmentFormats="0" applyWidthHeightFormats="1" dataCaption="Values" tag="dd60ac4f-2514-4d8d-b65e-b46291aa2a6c" updatedVersion="8" minRefreshableVersion="3" subtotalHiddenItems="1" rowGrandTotals="0" colGrandTotals="0" itemPrintTitles="1" createdVersion="8" indent="0" multipleFieldFilters="0" chartFormat="35" rowHeaderCaption="">
  <location ref="M97:N103" firstHeaderRow="1" firstDataRow="2" firstDataCol="1"/>
  <pivotFields count="5">
    <pivotField allDrilled="1" subtotalTop="0" showAll="0" sortType="ascending" defaultSubtotal="0" defaultAttributeDrillState="1">
      <items count="7">
        <item x="0"/>
        <item x="1"/>
        <item x="2"/>
        <item x="3"/>
        <item x="4"/>
        <item x="5"/>
        <item x="6"/>
      </items>
    </pivotField>
    <pivotField axis="axisRow" allDrilled="1" subtotalTop="0" showAll="0" dataSourceSort="1" defaultSubtotal="0" defaultAttributeDrillState="1">
      <items count="5">
        <item x="0"/>
        <item x="1"/>
        <item x="2"/>
        <item x="3"/>
        <item x="4"/>
      </items>
    </pivotField>
    <pivotField axis="axisCol"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x v="4"/>
    </i>
  </rowItems>
  <colFields count="1">
    <field x="2"/>
  </colFields>
  <colItems count="1">
    <i>
      <x/>
    </i>
  </colItems>
  <dataFields count="1">
    <dataField fld="3" subtotal="count" baseField="0" baseItem="0"/>
  </dataFields>
  <formats count="1">
    <format dxfId="50">
      <pivotArea grandRow="1" outline="0" collapsedLevelsAreSubtotals="1" fieldPosition="0"/>
    </format>
  </formats>
  <chartFormats count="4">
    <chartFormat chart="25"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0"/>
          </reference>
        </references>
      </pivotArea>
    </chartFormat>
    <chartFormat chart="29" format="0" series="1">
      <pivotArea type="data" outline="0" fieldPosition="0">
        <references count="1">
          <reference field="4294967294" count="1" selected="0">
            <x v="0"/>
          </reference>
        </references>
      </pivotArea>
    </chartFormat>
    <chartFormat chart="34" format="2"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AC1230D-B48B-4DE4-BBF6-1FF871D714A4}" name="PivotTable10" cacheId="145" dataOnRows="1" applyNumberFormats="0" applyBorderFormats="0" applyFontFormats="0" applyPatternFormats="0" applyAlignmentFormats="0" applyWidthHeightFormats="1" dataCaption="Values" tag="fcf07951-6d0a-4333-a902-e7f7714110a3" updatedVersion="8" minRefreshableVersion="3" subtotalHiddenItems="1" rowGrandTotals="0" colGrandTotals="0" itemPrintTitles="1" createdVersion="8" indent="0" multipleFieldFilters="0" chartFormat="20">
  <location ref="B70:E73" firstHeaderRow="1" firstDataRow="2" firstDataCol="1"/>
  <pivotFields count="4">
    <pivotField axis="axisRow" allDrilled="1" subtotalTop="0" showAll="0" dataSourceSort="1" defaultSubtotal="0" defaultAttributeDrillState="1">
      <items count="2">
        <item x="0"/>
        <item x="1"/>
      </items>
    </pivotField>
    <pivotField dataField="1" subtotalTop="0" showAll="0" defaultSubtotal="0"/>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0"/>
  </rowFields>
  <rowItems count="2">
    <i>
      <x/>
    </i>
    <i>
      <x v="1"/>
    </i>
  </rowItems>
  <colFields count="1">
    <field x="2"/>
  </colFields>
  <colItems count="3">
    <i>
      <x/>
    </i>
    <i>
      <x v="1"/>
    </i>
    <i>
      <x v="2"/>
    </i>
  </colItems>
  <dataFields count="1">
    <dataField fld="1" subtotal="count" baseField="0" baseItem="0"/>
  </dataFields>
  <formats count="1">
    <format dxfId="51">
      <pivotArea grandRow="1" outline="0" collapsedLevelsAreSubtotals="1" fieldPosition="0"/>
    </format>
  </formats>
  <chartFormats count="8">
    <chartFormat chart="16" format="0" series="1">
      <pivotArea type="data" outline="0" fieldPosition="0">
        <references count="2">
          <reference field="4294967294" count="1" selected="0">
            <x v="0"/>
          </reference>
          <reference field="2" count="1" selected="0">
            <x v="0"/>
          </reference>
        </references>
      </pivotArea>
    </chartFormat>
    <chartFormat chart="16" format="1" series="1">
      <pivotArea type="data" outline="0" fieldPosition="0">
        <references count="2">
          <reference field="4294967294" count="1" selected="0">
            <x v="0"/>
          </reference>
          <reference field="2" count="1" selected="0">
            <x v="1"/>
          </reference>
        </references>
      </pivotArea>
    </chartFormat>
    <chartFormat chart="16" format="2" series="1">
      <pivotArea type="data" outline="0" fieldPosition="0">
        <references count="2">
          <reference field="4294967294" count="1" selected="0">
            <x v="0"/>
          </reference>
          <reference field="2" count="1" selected="0">
            <x v="2"/>
          </reference>
        </references>
      </pivotArea>
    </chartFormat>
    <chartFormat chart="19" format="6" series="1">
      <pivotArea type="data" outline="0" fieldPosition="0">
        <references count="2">
          <reference field="4294967294" count="1" selected="0">
            <x v="0"/>
          </reference>
          <reference field="2" count="1" selected="0">
            <x v="0"/>
          </reference>
        </references>
      </pivotArea>
    </chartFormat>
    <chartFormat chart="19" format="7" series="1">
      <pivotArea type="data" outline="0" fieldPosition="0">
        <references count="2">
          <reference field="4294967294" count="1" selected="0">
            <x v="0"/>
          </reference>
          <reference field="2" count="1" selected="0">
            <x v="1"/>
          </reference>
        </references>
      </pivotArea>
    </chartFormat>
    <chartFormat chart="19" format="8" series="1">
      <pivotArea type="data" outline="0" fieldPosition="0">
        <references count="2">
          <reference field="4294967294" count="1" selected="0">
            <x v="0"/>
          </reference>
          <reference field="2" count="1" selected="0">
            <x v="2"/>
          </reference>
        </references>
      </pivotArea>
    </chartFormat>
    <chartFormat chart="19" format="9" series="1">
      <pivotArea type="data" outline="0" fieldPosition="0">
        <references count="1">
          <reference field="4294967294" count="1" selected="0">
            <x v="0"/>
          </reference>
        </references>
      </pivotArea>
    </chartFormat>
    <chartFormat chart="16" format="3"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D139E0F-C430-4597-874E-72665BEED9BC}" name="PivotTable20" cacheId="283" applyNumberFormats="0" applyBorderFormats="0" applyFontFormats="0" applyPatternFormats="0" applyAlignmentFormats="0" applyWidthHeightFormats="1" dataCaption="Values" tag="43b02e79-701b-4e4d-870d-082c9062904b" updatedVersion="8" minRefreshableVersion="5" subtotalHiddenItems="1" rowGrandTotals="0" colGrandTotals="0" itemPrintTitles="1" createdVersion="8" indent="0" multipleFieldFilters="0" chartFormat="34" rowHeaderCaption="">
  <location ref="C226:D276" firstHeaderRow="1" firstDataRow="1" firstDataCol="1"/>
  <pivotFields count="3">
    <pivotField allDrilled="1" subtotalTop="0" showAll="0" sortType="ascending" defaultSubtotal="0" defaultAttributeDrillState="1">
      <items count="7">
        <item x="0"/>
        <item x="1"/>
        <item x="2"/>
        <item x="3"/>
        <item x="4"/>
        <item x="5"/>
        <item x="6"/>
      </items>
    </pivotField>
    <pivotField axis="axisRow" allDrilled="1" subtotalTop="0" showAll="0" sortType="descending"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50">
    <i>
      <x v="4"/>
    </i>
    <i>
      <x v="33"/>
    </i>
    <i>
      <x v="42"/>
    </i>
    <i>
      <x v="9"/>
    </i>
    <i>
      <x v="30"/>
    </i>
    <i>
      <x v="14"/>
    </i>
    <i>
      <x v="44"/>
    </i>
    <i>
      <x v="37"/>
    </i>
    <i>
      <x v="10"/>
    </i>
    <i>
      <x v="19"/>
    </i>
    <i>
      <x v="34"/>
    </i>
    <i>
      <x v="20"/>
    </i>
    <i>
      <x v="3"/>
    </i>
    <i>
      <x v="5"/>
    </i>
    <i>
      <x v="46"/>
    </i>
    <i>
      <x v="27"/>
    </i>
    <i>
      <x v="6"/>
    </i>
    <i>
      <x v="22"/>
    </i>
    <i>
      <x v="24"/>
    </i>
    <i>
      <x v="23"/>
    </i>
    <i>
      <x v="32"/>
    </i>
    <i>
      <x v="39"/>
    </i>
    <i>
      <x v="47"/>
    </i>
    <i>
      <x v="1"/>
    </i>
    <i>
      <x v="36"/>
    </i>
    <i>
      <x v="18"/>
    </i>
    <i>
      <x v="17"/>
    </i>
    <i>
      <x v="35"/>
    </i>
    <i>
      <x v="16"/>
    </i>
    <i>
      <x v="43"/>
    </i>
    <i>
      <x v="7"/>
    </i>
    <i>
      <x v="2"/>
    </i>
    <i>
      <x v="29"/>
    </i>
    <i>
      <x v="31"/>
    </i>
    <i>
      <x v="38"/>
    </i>
    <i>
      <x v="11"/>
    </i>
    <i>
      <x v="48"/>
    </i>
    <i>
      <x v="8"/>
    </i>
    <i>
      <x/>
    </i>
    <i>
      <x v="49"/>
    </i>
    <i>
      <x v="26"/>
    </i>
    <i>
      <x v="40"/>
    </i>
    <i>
      <x v="45"/>
    </i>
    <i>
      <x v="41"/>
    </i>
    <i>
      <x v="25"/>
    </i>
    <i>
      <x v="15"/>
    </i>
    <i>
      <x v="13"/>
    </i>
    <i>
      <x v="12"/>
    </i>
    <i>
      <x v="28"/>
    </i>
    <i>
      <x v="21"/>
    </i>
  </rowItems>
  <colItems count="1">
    <i/>
  </colItems>
  <dataFields count="1">
    <dataField fld="2" subtotal="count" baseField="1" baseItem="1" numFmtId="165"/>
  </dataFields>
  <formats count="2">
    <format dxfId="53">
      <pivotArea grandRow="1" outline="0" collapsedLevelsAreSubtotals="1" fieldPosition="0"/>
    </format>
    <format dxfId="52">
      <pivotArea outline="0" fieldPosition="0">
        <references count="1">
          <reference field="4294967294" count="1">
            <x v="0"/>
          </reference>
        </references>
      </pivotArea>
    </format>
  </formats>
  <chartFormats count="2">
    <chartFormat chart="30" format="3" series="1">
      <pivotArea type="data" outline="0" fieldPosition="0">
        <references count="1">
          <reference field="4294967294" count="1" selected="0">
            <x v="0"/>
          </reference>
        </references>
      </pivotArea>
    </chartFormat>
    <chartFormat chart="33" format="5"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1E570AE-1264-4DCF-B602-604026F313D1}" name="PivotTable9" cacheId="298" dataOnRows="1" applyNumberFormats="0" applyBorderFormats="0" applyFontFormats="0" applyPatternFormats="0" applyAlignmentFormats="0" applyWidthHeightFormats="1" dataCaption=" " tag="d30a059d-8a58-48b7-8a05-2bc52a046117" updatedVersion="8" minRefreshableVersion="3" subtotalHiddenItems="1" rowGrandTotals="0" colGrandTotals="0" itemPrintTitles="1" createdVersion="8" indent="0" multipleFieldFilters="0" chartFormat="16" rowHeaderCaption="" colHeaderCaption="">
  <location ref="A78:D90" firstHeaderRow="1" firstDataRow="3" firstDataCol="1"/>
  <pivotFields count="13">
    <pivotField allDrilled="1" subtotalTop="0" showAll="0" sortType="descending"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autoSortScope>
        <pivotArea dataOnly="0" outline="0" fieldPosition="0">
          <references count="1">
            <reference field="4294967294" count="1" selected="0">
              <x v="7"/>
            </reference>
          </references>
        </pivotArea>
      </autoSortScope>
    </pivotField>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2">
        <item x="0"/>
        <item x="1"/>
      </items>
    </pivotField>
    <pivotField dataField="1" subtotalTop="0" showAll="0" defaultSubtotal="0"/>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2">
        <item x="0"/>
        <item x="1"/>
      </items>
    </pivotField>
    <pivotField dataField="1" subtotalTop="0" showAll="0" defaultSubtotal="0"/>
    <pivotField dataField="1" subtotalTop="0" showAll="0" defaultSubtotal="0"/>
    <pivotField dataField="1" subtotalTop="0" showAll="0" defaultSubtotal="0"/>
  </pivotFields>
  <rowFields count="1">
    <field x="-2"/>
  </rowFields>
  <rowItems count="10">
    <i>
      <x/>
    </i>
    <i i="1">
      <x v="1"/>
    </i>
    <i i="2">
      <x v="2"/>
    </i>
    <i i="3">
      <x v="3"/>
    </i>
    <i i="4">
      <x v="4"/>
    </i>
    <i i="5">
      <x v="5"/>
    </i>
    <i i="6">
      <x v="6"/>
    </i>
    <i i="7">
      <x v="7"/>
    </i>
    <i i="8">
      <x v="8"/>
    </i>
    <i i="9">
      <x v="9"/>
    </i>
  </rowItems>
  <colFields count="2">
    <field x="4"/>
    <field x="9"/>
  </colFields>
  <colItems count="3">
    <i>
      <x/>
      <x/>
    </i>
    <i r="1">
      <x v="1"/>
    </i>
    <i>
      <x v="1"/>
      <x v="1"/>
    </i>
  </colItems>
  <dataFields count="10">
    <dataField fld="1" subtotal="count" baseField="0" baseItem="0"/>
    <dataField fld="2" subtotal="count" baseField="9" baseItem="1" numFmtId="10"/>
    <dataField fld="5" subtotal="count" baseField="0" baseItem="0"/>
    <dataField fld="6" subtotal="count" baseField="0" baseItem="0"/>
    <dataField fld="7" subtotal="count" baseField="0" baseItem="0"/>
    <dataField name="Funded Amount" fld="8" subtotal="count" baseField="9" baseItem="0" numFmtId="165"/>
    <dataField name="Received Amount" fld="10" subtotal="count" baseField="9" baseItem="0" numFmtId="165"/>
    <dataField fld="3" subtotal="count" baseField="0" baseItem="0"/>
    <dataField name="Repayment Efficiency" fld="12" subtotal="average" baseField="9" baseItem="1" numFmtId="10"/>
    <dataField fld="11" subtotal="count" baseField="0" baseItem="0"/>
  </dataFields>
  <formats count="36">
    <format dxfId="89">
      <pivotArea grandRow="1" outline="0" collapsedLevelsAreSubtotals="1" fieldPosition="0"/>
    </format>
    <format dxfId="88">
      <pivotArea outline="0" fieldPosition="0">
        <references count="1">
          <reference field="4294967294" count="1">
            <x v="8"/>
          </reference>
        </references>
      </pivotArea>
    </format>
    <format dxfId="87">
      <pivotArea outline="0" fieldPosition="0">
        <references count="1">
          <reference field="4294967294" count="1">
            <x v="1"/>
          </reference>
        </references>
      </pivotArea>
    </format>
    <format dxfId="86">
      <pivotArea outline="0" fieldPosition="0">
        <references count="1">
          <reference field="4294967294" count="1">
            <x v="5"/>
          </reference>
        </references>
      </pivotArea>
    </format>
    <format dxfId="85">
      <pivotArea outline="0" fieldPosition="0">
        <references count="1">
          <reference field="4294967294" count="1">
            <x v="6"/>
          </reference>
        </references>
      </pivotArea>
    </format>
    <format dxfId="84">
      <pivotArea type="origin" dataOnly="0" labelOnly="1" outline="0" offset="A2" fieldPosition="0"/>
    </format>
    <format dxfId="83">
      <pivotArea field="-2" type="button" dataOnly="0" labelOnly="1" outline="0" axis="axisRow" fieldPosition="0"/>
    </format>
    <format dxfId="82">
      <pivotArea dataOnly="0" labelOnly="1" fieldPosition="0">
        <references count="1">
          <reference field="4" count="0"/>
        </references>
      </pivotArea>
    </format>
    <format dxfId="81">
      <pivotArea dataOnly="0" labelOnly="1" fieldPosition="0">
        <references count="2">
          <reference field="4" count="1" selected="0">
            <x v="0"/>
          </reference>
          <reference field="9" count="0"/>
        </references>
      </pivotArea>
    </format>
    <format dxfId="80">
      <pivotArea dataOnly="0" labelOnly="1" fieldPosition="0">
        <references count="2">
          <reference field="4" count="1" selected="0">
            <x v="1"/>
          </reference>
          <reference field="9" count="1">
            <x v="1"/>
          </reference>
        </references>
      </pivotArea>
    </format>
    <format dxfId="79">
      <pivotArea outline="0" collapsedLevelsAreSubtotals="1" fieldPosition="0">
        <references count="2">
          <reference field="4" count="1" selected="0">
            <x v="0"/>
          </reference>
          <reference field="9" count="1" selected="0">
            <x v="0"/>
          </reference>
        </references>
      </pivotArea>
    </format>
    <format dxfId="78">
      <pivotArea dataOnly="0" labelOnly="1" fieldPosition="0">
        <references count="2">
          <reference field="4" count="1" selected="0">
            <x v="0"/>
          </reference>
          <reference field="9" count="1">
            <x v="0"/>
          </reference>
        </references>
      </pivotArea>
    </format>
    <format dxfId="77">
      <pivotArea outline="0" collapsedLevelsAreSubtotals="1" fieldPosition="0">
        <references count="2">
          <reference field="4" count="1" selected="0">
            <x v="0"/>
          </reference>
          <reference field="9" count="1" selected="0">
            <x v="0"/>
          </reference>
        </references>
      </pivotArea>
    </format>
    <format dxfId="76">
      <pivotArea dataOnly="0" labelOnly="1" fieldPosition="0">
        <references count="2">
          <reference field="4" count="1" selected="0">
            <x v="0"/>
          </reference>
          <reference field="9" count="1">
            <x v="0"/>
          </reference>
        </references>
      </pivotArea>
    </format>
    <format dxfId="75">
      <pivotArea outline="0" collapsedLevelsAreSubtotals="1" fieldPosition="0">
        <references count="2">
          <reference field="4" count="1" selected="0">
            <x v="0"/>
          </reference>
          <reference field="9" count="1" selected="0">
            <x v="1"/>
          </reference>
        </references>
      </pivotArea>
    </format>
    <format dxfId="74">
      <pivotArea dataOnly="0" labelOnly="1" fieldPosition="0">
        <references count="2">
          <reference field="4" count="1" selected="0">
            <x v="0"/>
          </reference>
          <reference field="9" count="1">
            <x v="1"/>
          </reference>
        </references>
      </pivotArea>
    </format>
    <format dxfId="73">
      <pivotArea outline="0" collapsedLevelsAreSubtotals="1" fieldPosition="0">
        <references count="2">
          <reference field="4" count="1" selected="0">
            <x v="0"/>
          </reference>
          <reference field="9" count="1" selected="0">
            <x v="1"/>
          </reference>
        </references>
      </pivotArea>
    </format>
    <format dxfId="72">
      <pivotArea dataOnly="0" labelOnly="1" fieldPosition="0">
        <references count="2">
          <reference field="4" count="1" selected="0">
            <x v="0"/>
          </reference>
          <reference field="9" count="1">
            <x v="1"/>
          </reference>
        </references>
      </pivotArea>
    </format>
    <format dxfId="71">
      <pivotArea outline="0" collapsedLevelsAreSubtotals="1" fieldPosition="0">
        <references count="1">
          <reference field="4" count="1" selected="0">
            <x v="1"/>
          </reference>
        </references>
      </pivotArea>
    </format>
    <format dxfId="70">
      <pivotArea dataOnly="0" labelOnly="1" fieldPosition="0">
        <references count="2">
          <reference field="4" count="1" selected="0">
            <x v="1"/>
          </reference>
          <reference field="9" count="1">
            <x v="1"/>
          </reference>
        </references>
      </pivotArea>
    </format>
    <format dxfId="69">
      <pivotArea outline="0" collapsedLevelsAreSubtotals="1" fieldPosition="0">
        <references count="1">
          <reference field="4" count="1" selected="0">
            <x v="1"/>
          </reference>
        </references>
      </pivotArea>
    </format>
    <format dxfId="68">
      <pivotArea dataOnly="0" labelOnly="1" fieldPosition="0">
        <references count="2">
          <reference field="4" count="1" selected="0">
            <x v="1"/>
          </reference>
          <reference field="9" count="1">
            <x v="1"/>
          </reference>
        </references>
      </pivotArea>
    </format>
    <format dxfId="67">
      <pivotArea dataOnly="0" labelOnly="1" fieldPosition="0">
        <references count="1">
          <reference field="4" count="1">
            <x v="1"/>
          </reference>
        </references>
      </pivotArea>
    </format>
    <format dxfId="66">
      <pivotArea dataOnly="0" labelOnly="1" fieldPosition="0">
        <references count="1">
          <reference field="4" count="1">
            <x v="1"/>
          </reference>
        </references>
      </pivotArea>
    </format>
    <format dxfId="65">
      <pivotArea dataOnly="0" labelOnly="1" fieldPosition="0">
        <references count="1">
          <reference field="4" count="1">
            <x v="0"/>
          </reference>
        </references>
      </pivotArea>
    </format>
    <format dxfId="64">
      <pivotArea dataOnly="0" labelOnly="1" fieldPosition="0">
        <references count="1">
          <reference field="4" count="1">
            <x v="0"/>
          </reference>
        </references>
      </pivotArea>
    </format>
    <format dxfId="63">
      <pivotArea outline="0" collapsedLevelsAreSubtotals="1" fieldPosition="0">
        <references count="2">
          <reference field="4" count="1" selected="0">
            <x v="0"/>
          </reference>
          <reference field="9" count="1" selected="0">
            <x v="0"/>
          </reference>
        </references>
      </pivotArea>
    </format>
    <format dxfId="62">
      <pivotArea outline="0" collapsedLevelsAreSubtotals="1" fieldPosition="0">
        <references count="2">
          <reference field="4" count="1" selected="0">
            <x v="0"/>
          </reference>
          <reference field="9" count="1" selected="0">
            <x v="1"/>
          </reference>
        </references>
      </pivotArea>
    </format>
    <format dxfId="61">
      <pivotArea dataOnly="0" labelOnly="1" fieldPosition="0">
        <references count="2">
          <reference field="4" count="1" selected="0">
            <x v="0"/>
          </reference>
          <reference field="9" count="1">
            <x v="1"/>
          </reference>
        </references>
      </pivotArea>
    </format>
    <format dxfId="60">
      <pivotArea dataOnly="0" labelOnly="1" offset="IV256" fieldPosition="0">
        <references count="1">
          <reference field="4" count="1">
            <x v="0"/>
          </reference>
        </references>
      </pivotArea>
    </format>
    <format dxfId="59">
      <pivotArea type="origin" dataOnly="0" labelOnly="1" outline="0" offset="A2" fieldPosition="0"/>
    </format>
    <format dxfId="58">
      <pivotArea dataOnly="0" labelOnly="1" fieldPosition="0">
        <references count="1">
          <reference field="4" count="0"/>
        </references>
      </pivotArea>
    </format>
    <format dxfId="57">
      <pivotArea dataOnly="0" labelOnly="1" fieldPosition="0">
        <references count="2">
          <reference field="4" count="1" selected="0">
            <x v="0"/>
          </reference>
          <reference field="9" count="1">
            <x v="0"/>
          </reference>
        </references>
      </pivotArea>
    </format>
    <format dxfId="56">
      <pivotArea dataOnly="0" labelOnly="1" fieldPosition="0">
        <references count="2">
          <reference field="4" count="1" selected="0">
            <x v="1"/>
          </reference>
          <reference field="9" count="1">
            <x v="1"/>
          </reference>
        </references>
      </pivotArea>
    </format>
    <format dxfId="55">
      <pivotArea dataOnly="0" labelOnly="1" fieldPosition="0">
        <references count="2">
          <reference field="4" count="1" selected="0">
            <x v="0"/>
          </reference>
          <reference field="9" count="1">
            <x v="0"/>
          </reference>
        </references>
      </pivotArea>
    </format>
    <format dxfId="54">
      <pivotArea dataOnly="0" labelOnly="1" fieldPosition="0">
        <references count="2">
          <reference field="4" count="1" selected="0">
            <x v="1"/>
          </reference>
          <reference field="9" count="1">
            <x v="1"/>
          </reference>
        </references>
      </pivotArea>
    </format>
  </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Received Amount"/>
    <pivotHierarchy dragToRow="0" dragToCol="0" dragToPage="0" dragToData="1"/>
    <pivotHierarchy dragToRow="0" dragToCol="0" dragToPage="0" dragToData="1" caption="Funded Am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epayment Efficiency"/>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2">
    <colHierarchyUsage hierarchyUsage="30"/>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BC13056-DAE5-4446-8157-B88F32E2AC00}" name="PivotTable11" cacheId="148" dataOnRows="1" applyNumberFormats="0" applyBorderFormats="0" applyFontFormats="0" applyPatternFormats="0" applyAlignmentFormats="0" applyWidthHeightFormats="1" dataCaption="Values" tag="98e52505-f772-4311-b64e-00a2c627a955" updatedVersion="8" minRefreshableVersion="3" subtotalHiddenItems="1" rowGrandTotals="0" colGrandTotals="0" itemPrintTitles="1" createdVersion="8" indent="0" multipleFieldFilters="0" chartFormat="24">
  <location ref="G78:L91" firstHeaderRow="1" firstDataRow="2" firstDataCol="1"/>
  <pivotFields count="4">
    <pivotField dataField="1" subtotalTop="0" showAll="0" defaultSubtotal="0"/>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2"/>
  </rowFields>
  <rowItems count="12">
    <i>
      <x/>
    </i>
    <i>
      <x v="1"/>
    </i>
    <i>
      <x v="2"/>
    </i>
    <i>
      <x v="3"/>
    </i>
    <i>
      <x v="4"/>
    </i>
    <i>
      <x v="5"/>
    </i>
    <i>
      <x v="6"/>
    </i>
    <i>
      <x v="7"/>
    </i>
    <i>
      <x v="8"/>
    </i>
    <i>
      <x v="9"/>
    </i>
    <i>
      <x v="10"/>
    </i>
    <i>
      <x v="11"/>
    </i>
  </rowItems>
  <colFields count="1">
    <field x="1"/>
  </colFields>
  <colItems count="5">
    <i>
      <x/>
    </i>
    <i>
      <x v="1"/>
    </i>
    <i>
      <x v="2"/>
    </i>
    <i>
      <x v="3"/>
    </i>
    <i>
      <x v="4"/>
    </i>
  </colItems>
  <dataFields count="1">
    <dataField fld="0" subtotal="count" baseField="0" baseItem="0"/>
  </dataFields>
  <formats count="1">
    <format dxfId="90">
      <pivotArea grandRow="1" outline="0" collapsedLevelsAreSubtotals="1" fieldPosition="0"/>
    </format>
  </formats>
  <chartFormats count="12">
    <chartFormat chart="20" format="0" series="1">
      <pivotArea type="data" outline="0" fieldPosition="0">
        <references count="1">
          <reference field="4294967294" count="1" selected="0">
            <x v="0"/>
          </reference>
        </references>
      </pivotArea>
    </chartFormat>
    <chartFormat chart="20" format="1" series="1">
      <pivotArea type="data" outline="0" fieldPosition="0">
        <references count="2">
          <reference field="4294967294" count="1" selected="0">
            <x v="0"/>
          </reference>
          <reference field="1" count="1" selected="0">
            <x v="1"/>
          </reference>
        </references>
      </pivotArea>
    </chartFormat>
    <chartFormat chart="20" format="2" series="1">
      <pivotArea type="data" outline="0" fieldPosition="0">
        <references count="2">
          <reference field="4294967294" count="1" selected="0">
            <x v="0"/>
          </reference>
          <reference field="1" count="1" selected="0">
            <x v="2"/>
          </reference>
        </references>
      </pivotArea>
    </chartFormat>
    <chartFormat chart="20" format="3" series="1">
      <pivotArea type="data" outline="0" fieldPosition="0">
        <references count="2">
          <reference field="4294967294" count="1" selected="0">
            <x v="0"/>
          </reference>
          <reference field="1" count="1" selected="0">
            <x v="3"/>
          </reference>
        </references>
      </pivotArea>
    </chartFormat>
    <chartFormat chart="20" format="4" series="1">
      <pivotArea type="data" outline="0" fieldPosition="0">
        <references count="2">
          <reference field="4294967294" count="1" selected="0">
            <x v="0"/>
          </reference>
          <reference field="1" count="1" selected="0">
            <x v="4"/>
          </reference>
        </references>
      </pivotArea>
    </chartFormat>
    <chartFormat chart="20" format="5" series="1">
      <pivotArea type="data" outline="0" fieldPosition="0">
        <references count="2">
          <reference field="4294967294" count="1" selected="0">
            <x v="0"/>
          </reference>
          <reference field="1" count="1" selected="0">
            <x v="0"/>
          </reference>
        </references>
      </pivotArea>
    </chartFormat>
    <chartFormat chart="23" format="11" series="1">
      <pivotArea type="data" outline="0" fieldPosition="0">
        <references count="2">
          <reference field="4294967294" count="1" selected="0">
            <x v="0"/>
          </reference>
          <reference field="1" count="1" selected="0">
            <x v="0"/>
          </reference>
        </references>
      </pivotArea>
    </chartFormat>
    <chartFormat chart="23" format="12" series="1">
      <pivotArea type="data" outline="0" fieldPosition="0">
        <references count="2">
          <reference field="4294967294" count="1" selected="0">
            <x v="0"/>
          </reference>
          <reference field="1" count="1" selected="0">
            <x v="1"/>
          </reference>
        </references>
      </pivotArea>
    </chartFormat>
    <chartFormat chart="23" format="13" series="1">
      <pivotArea type="data" outline="0" fieldPosition="0">
        <references count="2">
          <reference field="4294967294" count="1" selected="0">
            <x v="0"/>
          </reference>
          <reference field="1" count="1" selected="0">
            <x v="2"/>
          </reference>
        </references>
      </pivotArea>
    </chartFormat>
    <chartFormat chart="23" format="14" series="1">
      <pivotArea type="data" outline="0" fieldPosition="0">
        <references count="2">
          <reference field="4294967294" count="1" selected="0">
            <x v="0"/>
          </reference>
          <reference field="1" count="1" selected="0">
            <x v="3"/>
          </reference>
        </references>
      </pivotArea>
    </chartFormat>
    <chartFormat chart="23" format="15" series="1">
      <pivotArea type="data" outline="0" fieldPosition="0">
        <references count="2">
          <reference field="4294967294" count="1" selected="0">
            <x v="0"/>
          </reference>
          <reference field="1" count="1" selected="0">
            <x v="4"/>
          </reference>
        </references>
      </pivotArea>
    </chartFormat>
    <chartFormat chart="23" format="16"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colHierarchiesUsage count="1">
    <colHierarchyUsage hierarchyUsage="3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B4ABCB33-8777-4F54-AF44-6DED57170E15}" name="PivotTable3" cacheId="133" applyNumberFormats="0" applyBorderFormats="0" applyFontFormats="0" applyPatternFormats="0" applyAlignmentFormats="0" applyWidthHeightFormats="1" dataCaption="Values" tag="64938293-5408-42b3-ae23-030de20983eb" updatedVersion="8" minRefreshableVersion="3" subtotalHiddenItems="1" itemPrintTitles="1" createdVersion="8" indent="0" multipleFieldFilters="0">
  <location ref="B2:L3" firstHeaderRow="0" firstDataRow="1" firstDataCol="0"/>
  <pivotFields count="13">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allDrilled="1" showAll="0" dataSourceSort="1" defaultAttributeDrillState="1"/>
    <pivotField allDrilled="1" showAll="0" dataSourceSort="1" defaultAttributeDrillState="1"/>
  </pivotFields>
  <rowItems count="1">
    <i/>
  </rowItems>
  <colFields count="1">
    <field x="-2"/>
  </colFields>
  <colItems count="11">
    <i>
      <x/>
    </i>
    <i i="1">
      <x v="1"/>
    </i>
    <i i="2">
      <x v="2"/>
    </i>
    <i i="3">
      <x v="3"/>
    </i>
    <i i="4">
      <x v="4"/>
    </i>
    <i i="5">
      <x v="5"/>
    </i>
    <i i="6">
      <x v="6"/>
    </i>
    <i i="7">
      <x v="7"/>
    </i>
    <i i="8">
      <x v="8"/>
    </i>
    <i i="9">
      <x v="9"/>
    </i>
    <i i="10">
      <x v="10"/>
    </i>
  </colItems>
  <dataFields count="11">
    <dataField fld="3" subtotal="count" baseField="0" baseItem="2" numFmtId="166"/>
    <dataField fld="0" subtotal="count" baseField="0" baseItem="0" numFmtId="165"/>
    <dataField fld="6" subtotal="count" baseField="0" baseItem="0"/>
    <dataField fld="2" subtotal="count" baseField="0" baseItem="0"/>
    <dataField fld="5" subtotal="count" baseField="0" baseItem="1" numFmtId="10"/>
    <dataField fld="4" subtotal="count" baseField="0" baseItem="4" numFmtId="10"/>
    <dataField fld="1" subtotal="count" baseField="0" baseItem="6" numFmtId="10"/>
    <dataField fld="7" subtotal="count" baseField="0" baseItem="7" numFmtId="10"/>
    <dataField fld="8" subtotal="count" baseField="0" baseItem="8" numFmtId="167"/>
    <dataField fld="9" subtotal="count" baseField="0" baseItem="9" numFmtId="167"/>
    <dataField fld="10" subtotal="count" baseField="0" baseItem="10" numFmtId="167"/>
  </dataFields>
  <formats count="16">
    <format dxfId="106">
      <pivotArea outline="0" collapsedLevelsAreSubtotals="1" fieldPosition="0"/>
    </format>
    <format dxfId="105">
      <pivotArea outline="0" fieldPosition="0">
        <references count="1">
          <reference field="4294967294" count="1">
            <x v="0"/>
          </reference>
        </references>
      </pivotArea>
    </format>
    <format dxfId="104">
      <pivotArea outline="0" fieldPosition="0">
        <references count="1">
          <reference field="4294967294" count="1">
            <x v="5"/>
          </reference>
        </references>
      </pivotArea>
    </format>
    <format dxfId="103">
      <pivotArea outline="0" fieldPosition="0">
        <references count="1">
          <reference field="4294967294" count="1">
            <x v="4"/>
          </reference>
        </references>
      </pivotArea>
    </format>
    <format dxfId="102">
      <pivotArea outline="0" fieldPosition="0">
        <references count="1">
          <reference field="4294967294" count="1">
            <x v="7"/>
          </reference>
        </references>
      </pivotArea>
    </format>
    <format dxfId="101">
      <pivotArea type="all" dataOnly="0" outline="0" fieldPosition="0"/>
    </format>
    <format dxfId="100">
      <pivotArea outline="0" collapsedLevelsAreSubtotals="1" fieldPosition="0"/>
    </format>
    <format dxfId="99">
      <pivotArea dataOnly="0" labelOnly="1" outline="0" fieldPosition="0">
        <references count="1">
          <reference field="4294967294" count="8">
            <x v="0"/>
            <x v="1"/>
            <x v="2"/>
            <x v="3"/>
            <x v="4"/>
            <x v="5"/>
            <x v="6"/>
            <x v="7"/>
          </reference>
        </references>
      </pivotArea>
    </format>
    <format dxfId="98">
      <pivotArea type="all" dataOnly="0" outline="0" fieldPosition="0"/>
    </format>
    <format dxfId="97">
      <pivotArea outline="0" fieldPosition="0">
        <references count="1">
          <reference field="4294967294" count="1">
            <x v="8"/>
          </reference>
        </references>
      </pivotArea>
    </format>
    <format dxfId="96">
      <pivotArea outline="0" fieldPosition="0">
        <references count="1">
          <reference field="4294967294" count="1">
            <x v="9"/>
          </reference>
        </references>
      </pivotArea>
    </format>
    <format dxfId="95">
      <pivotArea outline="0" fieldPosition="0">
        <references count="1">
          <reference field="4294967294" count="1">
            <x v="10"/>
          </reference>
        </references>
      </pivotArea>
    </format>
    <format dxfId="94">
      <pivotArea type="all" dataOnly="0" outline="0" fieldPosition="0"/>
    </format>
    <format dxfId="93">
      <pivotArea outline="0" collapsedLevelsAreSubtotals="1" fieldPosition="0"/>
    </format>
    <format dxfId="92">
      <pivotArea dataOnly="0" labelOnly="1" outline="0" fieldPosition="0">
        <references count="1">
          <reference field="4294967294" count="11">
            <x v="0"/>
            <x v="1"/>
            <x v="2"/>
            <x v="3"/>
            <x v="4"/>
            <x v="5"/>
            <x v="6"/>
            <x v="7"/>
            <x v="8"/>
            <x v="9"/>
            <x v="10"/>
          </reference>
        </references>
      </pivotArea>
    </format>
    <format dxfId="91">
      <pivotArea outline="0" fieldPosition="0">
        <references count="1">
          <reference field="4294967294" count="1">
            <x v="6"/>
          </reference>
        </references>
      </pivotArea>
    </format>
  </formats>
  <pivotHierarchies count="93">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members count="1" level="1">
        <member name="[bank_loan_data].[home_ownership].&amp;[RENT]"/>
      </members>
    </pivotHierarchy>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1CA221E7-12B3-4EAE-AE61-4CE16854CE47}" name="PivotTable26" cacheId="292" applyNumberFormats="0" applyBorderFormats="0" applyFontFormats="0" applyPatternFormats="0" applyAlignmentFormats="0" applyWidthHeightFormats="1" dataCaption="Values" tag="a4dfe68c-3569-440c-9791-8a406b9f8e4a" updatedVersion="8" minRefreshableVersion="5" subtotalHiddenItems="1" rowGrandTotals="0" colGrandTotals="0" itemPrintTitles="1" createdVersion="8" indent="0" multipleFieldFilters="0" chartFormat="31" rowHeaderCaption="States">
  <location ref="J263:P264" firstHeaderRow="0" firstDataRow="1" firstDataCol="0"/>
  <pivotFields count="9">
    <pivotField allDrilled="1" subtotalTop="0" showAll="0" sortType="ascending" defaultSubtotal="0" defaultAttributeDrillState="1">
      <items count="7">
        <item x="0"/>
        <item x="1"/>
        <item x="2"/>
        <item x="3"/>
        <item x="4"/>
        <item x="5"/>
        <item x="6"/>
      </items>
    </pivotField>
    <pivotField dataField="1" subtotalTop="0" showAll="0" defaultSubtotal="0"/>
    <pivotField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7">
    <i>
      <x/>
    </i>
    <i i="1">
      <x v="1"/>
    </i>
    <i i="2">
      <x v="2"/>
    </i>
    <i i="3">
      <x v="3"/>
    </i>
    <i i="4">
      <x v="4"/>
    </i>
    <i i="5">
      <x v="5"/>
    </i>
    <i i="6">
      <x v="6"/>
    </i>
  </colItems>
  <dataFields count="7">
    <dataField name="Unemp Rate" fld="6" subtotal="average" baseField="2" baseItem="1" numFmtId="171"/>
    <dataField name="Avg Annual Inc" fld="3" subtotal="average" baseField="2" baseItem="1" numFmtId="170"/>
    <dataField name="Avg Loan Amt" fld="4" subtotal="average" baseField="2" baseItem="1" numFmtId="170"/>
    <dataField fld="7" subtotal="count" baseField="0" baseItem="1" numFmtId="10"/>
    <dataField name="Avg Int Rate" fld="5" subtotal="count" baseField="2" baseItem="1" numFmtId="172"/>
    <dataField name="Funded Loans" fld="1" subtotal="count" baseField="2" baseItem="1" numFmtId="1"/>
    <dataField fld="8" subtotal="count" baseField="0" baseItem="6" numFmtId="10"/>
  </dataFields>
  <formats count="16">
    <format dxfId="122">
      <pivotArea grandRow="1" outline="0" collapsedLevelsAreSubtotals="1" fieldPosition="0"/>
    </format>
    <format dxfId="121">
      <pivotArea outline="0" fieldPosition="0">
        <references count="1">
          <reference field="4294967294" count="1">
            <x v="5"/>
          </reference>
        </references>
      </pivotArea>
    </format>
    <format dxfId="120">
      <pivotArea outline="0" fieldPosition="0">
        <references count="1">
          <reference field="4294967294" count="1">
            <x v="1"/>
          </reference>
        </references>
      </pivotArea>
    </format>
    <format dxfId="119">
      <pivotArea outline="0" fieldPosition="0">
        <references count="1">
          <reference field="4294967294" count="1">
            <x v="2"/>
          </reference>
        </references>
      </pivotArea>
    </format>
    <format dxfId="118">
      <pivotArea outline="0" fieldPosition="0">
        <references count="1">
          <reference field="4294967294" count="1">
            <x v="4"/>
          </reference>
        </references>
      </pivotArea>
    </format>
    <format dxfId="117">
      <pivotArea outline="0" fieldPosition="0">
        <references count="1">
          <reference field="4294967294" count="1">
            <x v="0"/>
          </reference>
        </references>
      </pivotArea>
    </format>
    <format dxfId="116">
      <pivotArea type="all" dataOnly="0" outline="0" fieldPosition="0"/>
    </format>
    <format dxfId="115">
      <pivotArea outline="0" collapsedLevelsAreSubtotals="1" fieldPosition="0"/>
    </format>
    <format dxfId="114">
      <pivotArea field="2" type="button" dataOnly="0" labelOnly="1" outline="0"/>
    </format>
    <format dxfId="113">
      <pivotArea dataOnly="0" labelOnly="1" outline="0" fieldPosition="0">
        <references count="1">
          <reference field="4294967294" count="6">
            <x v="0"/>
            <x v="1"/>
            <x v="2"/>
            <x v="3"/>
            <x v="4"/>
            <x v="5"/>
          </reference>
        </references>
      </pivotArea>
    </format>
    <format dxfId="112">
      <pivotArea type="all" dataOnly="0" outline="0" fieldPosition="0"/>
    </format>
    <format dxfId="111">
      <pivotArea outline="0" collapsedLevelsAreSubtotals="1" fieldPosition="0"/>
    </format>
    <format dxfId="110">
      <pivotArea field="2" type="button" dataOnly="0" labelOnly="1" outline="0"/>
    </format>
    <format dxfId="109">
      <pivotArea dataOnly="0" labelOnly="1" outline="0" fieldPosition="0">
        <references count="1">
          <reference field="4294967294" count="6">
            <x v="0"/>
            <x v="1"/>
            <x v="2"/>
            <x v="3"/>
            <x v="4"/>
            <x v="5"/>
          </reference>
        </references>
      </pivotArea>
    </format>
    <format dxfId="108">
      <pivotArea outline="0" fieldPosition="0">
        <references count="1">
          <reference field="4294967294" count="1">
            <x v="3"/>
          </reference>
        </references>
      </pivotArea>
    </format>
    <format dxfId="107">
      <pivotArea outline="0" fieldPosition="0">
        <references count="1">
          <reference field="4294967294" count="1">
            <x v="6"/>
          </reference>
        </references>
      </pivotArea>
    </format>
  </formats>
  <chartFormats count="3">
    <chartFormat chart="25" format="0" series="1">
      <pivotArea type="data" outline="0" fieldPosition="0">
        <references count="1">
          <reference field="4294967294" count="1" selected="0">
            <x v="5"/>
          </reference>
        </references>
      </pivotArea>
    </chartFormat>
    <chartFormat chart="30" format="8" series="1">
      <pivotArea type="data" outline="0" fieldPosition="0">
        <references count="1">
          <reference field="4294967294" count="1" selected="0">
            <x v="5"/>
          </reference>
        </references>
      </pivotArea>
    </chartFormat>
    <chartFormat chart="27" format="4" series="1">
      <pivotArea type="data" outline="0" fieldPosition="0">
        <references count="1">
          <reference field="4294967294" count="1" selected="0">
            <x v="5"/>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Funded Loans"/>
    <pivotHierarchy dragToRow="0" dragToCol="0" dragToPage="0" dragToData="1"/>
    <pivotHierarchy dragToRow="0" dragToCol="0" dragToPage="0" dragToData="1"/>
    <pivotHierarchy dragToRow="0" dragToCol="0" dragToPage="0" dragToData="1" caption="Avg Int Ra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epayment_efficiency_ratio"/>
    <pivotHierarchy dragToData="1"/>
    <pivotHierarchy dragToData="1"/>
    <pivotHierarchy dragToData="1" caption="Avg Annual Inc"/>
    <pivotHierarchy dragToData="1"/>
    <pivotHierarchy dragToData="1" caption="Avg Loan Amt"/>
    <pivotHierarchy dragToData="1"/>
    <pivotHierarchy dragToData="1"/>
    <pivotHierarchy dragToData="1" caption="Unemp Rate"/>
  </pivotHierarchies>
  <pivotTableStyleInfo name="PivotStyleLight16" showRowHeaders="1" showColHeaders="1" showRowStripes="0" showColStripes="0" showLastColumn="1"/>
  <filters count="1">
    <filter fld="2" type="count" id="11" iMeasureHier="58">
      <autoFilter ref="A1">
        <filterColumn colId="0">
          <top10 val="5" filterVal="5"/>
        </filterColumn>
      </autoFilter>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6EB62F1C-40CD-461C-89A2-44D6179F8117}" name="PivotTable29" cacheId="295" applyNumberFormats="0" applyBorderFormats="0" applyFontFormats="0" applyPatternFormats="0" applyAlignmentFormats="0" applyWidthHeightFormats="1" dataCaption="Values" tag="d8398d47-693e-4bff-ae3b-34a1480ffa44" updatedVersion="8" minRefreshableVersion="5" subtotalHiddenItems="1" rowGrandTotals="0" colGrandTotals="0" itemPrintTitles="1" createdVersion="8" indent="0" multipleFieldFilters="0" chartFormat="35" rowHeaderCaption="">
  <location ref="F273:G278" firstHeaderRow="1" firstDataRow="1" firstDataCol="1"/>
  <pivotFields count="3">
    <pivotField allDrilled="1" subtotalTop="0" showAll="0" sortType="ascending" defaultSubtotal="0" defaultAttributeDrillState="1">
      <items count="7">
        <item x="0"/>
        <item x="1"/>
        <item x="2"/>
        <item x="3"/>
        <item x="4"/>
        <item x="5"/>
        <item x="6"/>
      </items>
    </pivotField>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2"/>
  </rowFields>
  <rowItems count="5">
    <i>
      <x/>
    </i>
    <i>
      <x v="1"/>
    </i>
    <i>
      <x v="2"/>
    </i>
    <i>
      <x v="3"/>
    </i>
    <i>
      <x v="4"/>
    </i>
  </rowItems>
  <colItems count="1">
    <i/>
  </colItems>
  <dataFields count="1">
    <dataField fld="1" subtotal="count" baseField="2" baseItem="0" numFmtId="1"/>
  </dataFields>
  <formats count="7">
    <format dxfId="129">
      <pivotArea grandRow="1" outline="0" collapsedLevelsAreSubtotals="1" fieldPosition="0"/>
    </format>
    <format dxfId="128">
      <pivotArea outline="0" fieldPosition="0">
        <references count="1">
          <reference field="4294967294" count="1">
            <x v="0"/>
          </reference>
        </references>
      </pivotArea>
    </format>
    <format dxfId="127">
      <pivotArea type="all" dataOnly="0" outline="0" fieldPosition="0"/>
    </format>
    <format dxfId="126">
      <pivotArea outline="0" collapsedLevelsAreSubtotals="1" fieldPosition="0"/>
    </format>
    <format dxfId="125">
      <pivotArea field="2" type="button" dataOnly="0" labelOnly="1" outline="0" axis="axisRow" fieldPosition="0"/>
    </format>
    <format dxfId="124">
      <pivotArea dataOnly="0" labelOnly="1" fieldPosition="0">
        <references count="1">
          <reference field="2" count="0"/>
        </references>
      </pivotArea>
    </format>
    <format dxfId="123">
      <pivotArea dataOnly="0" labelOnly="1" outline="0" axis="axisValues" fieldPosition="0"/>
    </format>
  </formats>
  <chartFormats count="2">
    <chartFormat chart="34" format="18" series="1">
      <pivotArea type="data" outline="0" fieldPosition="0">
        <references count="1">
          <reference field="4294967294" count="1" selected="0">
            <x v="0"/>
          </reference>
        </references>
      </pivotArea>
    </chartFormat>
    <chartFormat chart="31" format="6"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 Unemployment Rate"/>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CA7210A2-01EB-48E8-8C75-885FF23863DF}" name="PivotTable18" cacheId="277" applyNumberFormats="0" applyBorderFormats="0" applyFontFormats="0" applyPatternFormats="0" applyAlignmentFormats="0" applyWidthHeightFormats="1" dataCaption="Values" tag="47d61bab-c19c-4aae-a01a-926f9d571439" updatedVersion="8" minRefreshableVersion="5" subtotalHiddenItems="1" rowGrandTotals="0" colGrandTotals="0" itemPrintTitles="1" createdVersion="8" indent="0" multipleFieldFilters="0" chartFormat="25" rowHeaderCaption="">
  <location ref="K153:P203" firstHeaderRow="0" firstDataRow="1" firstDataCol="1"/>
  <pivotFields count="7">
    <pivotField allDrilled="1" subtotalTop="0" showAll="0" sortType="ascending" defaultSubtotal="0" defaultAttributeDrillState="1">
      <items count="7">
        <item x="0"/>
        <item x="1"/>
        <item x="2"/>
        <item x="3"/>
        <item x="4"/>
        <item x="5"/>
        <item x="6"/>
      </items>
    </pivotField>
    <pivotField dataField="1" subtotalTop="0" showAll="0" defaultSubtotal="0"/>
    <pivotField dataField="1" subtotalTop="0" showAll="0" defaultSubtotal="0"/>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dataField="1" subtotalTop="0" showAll="0" defaultSubtotal="0"/>
    <pivotField dataField="1" subtotalTop="0" showAll="0" defaultSubtotal="0"/>
    <pivotField dataField="1" subtotalTop="0" showAll="0" defaultSubtotal="0"/>
  </pivotFields>
  <rowFields count="1">
    <field x="3"/>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rowItems>
  <colFields count="1">
    <field x="-2"/>
  </colFields>
  <colItems count="5">
    <i>
      <x/>
    </i>
    <i i="1">
      <x v="1"/>
    </i>
    <i i="2">
      <x v="2"/>
    </i>
    <i i="3">
      <x v="3"/>
    </i>
    <i i="4">
      <x v="4"/>
    </i>
  </colItems>
  <dataFields count="5">
    <dataField name="Avg Interest Rate" fld="5" subtotal="average" baseField="3" baseItem="0" numFmtId="10"/>
    <dataField name="Avg Loan Amount" fld="4" subtotal="average" baseField="3" baseItem="0" numFmtId="170"/>
    <dataField name="Risk %" fld="6" subtotal="count" baseField="3" baseItem="0"/>
    <dataField name="Fraud %" fld="1" subtotal="count" baseField="3" baseItem="0" numFmtId="10"/>
    <dataField name="Repayment Efficiency" fld="2" subtotal="average" baseField="3" baseItem="0" numFmtId="10"/>
  </dataFields>
  <formats count="5">
    <format dxfId="134">
      <pivotArea grandRow="1" outline="0" collapsedLevelsAreSubtotals="1" fieldPosition="0"/>
    </format>
    <format dxfId="133">
      <pivotArea outline="0" fieldPosition="0">
        <references count="1">
          <reference field="4294967294" count="1">
            <x v="3"/>
          </reference>
        </references>
      </pivotArea>
    </format>
    <format dxfId="132">
      <pivotArea outline="0" fieldPosition="0">
        <references count="1">
          <reference field="4294967294" count="1">
            <x v="4"/>
          </reference>
        </references>
      </pivotArea>
    </format>
    <format dxfId="131">
      <pivotArea outline="0" fieldPosition="0">
        <references count="1">
          <reference field="4294967294" count="1">
            <x v="1"/>
          </reference>
        </references>
      </pivotArea>
    </format>
    <format dxfId="130">
      <pivotArea outline="0" fieldPosition="0">
        <references count="1">
          <reference field="4294967294" count="1">
            <x v="0"/>
          </reference>
        </references>
      </pivotArea>
    </format>
  </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Fraud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Risk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epayment Efficiency"/>
    <pivotHierarchy dragToData="1"/>
    <pivotHierarchy dragToData="1"/>
    <pivotHierarchy dragToData="1"/>
    <pivotHierarchy dragToData="1"/>
    <pivotHierarchy dragToData="1" caption="Avg Loan Amount"/>
    <pivotHierarchy dragToData="1"/>
    <pivotHierarchy dragToData="1" caption="Avg Interest Rate"/>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3A71EBC7-35C4-4B49-841A-36349224BD85}" name="PivotTable0" cacheId="163" dataOnRows="1" applyNumberFormats="0" applyBorderFormats="0" applyFontFormats="0" applyPatternFormats="0" applyAlignmentFormats="0" applyWidthHeightFormats="1" dataCaption=" " tag="3a255e1b-0d50-4487-b789-dd271f1a5ef8" updatedVersion="8" minRefreshableVersion="3" subtotalHiddenItems="1" rowGrandTotals="0" colGrandTotals="0" itemPrintTitles="1" createdVersion="8" indent="0" multipleFieldFilters="0" chartFormat="16" colHeaderCaption="">
  <location ref="K8:M17" firstHeaderRow="1" firstDataRow="2" firstDataCol="1"/>
  <pivotFields count="10">
    <pivotField dataField="1" subtotalTop="0" showAll="0" defaultSubtotal="0"/>
    <pivotField axis="axisCol" allDrilled="1" subtotalTop="0" showAll="0" defaultSubtotal="0" defaultAttributeDrillState="1">
      <items count="2">
        <item x="1"/>
        <item x="0"/>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2"/>
  </rowFields>
  <rowItems count="8">
    <i>
      <x/>
    </i>
    <i i="1">
      <x v="1"/>
    </i>
    <i i="2">
      <x v="2"/>
    </i>
    <i i="3">
      <x v="3"/>
    </i>
    <i i="4">
      <x v="4"/>
    </i>
    <i i="5">
      <x v="5"/>
    </i>
    <i i="6">
      <x v="6"/>
    </i>
    <i i="7">
      <x v="7"/>
    </i>
  </rowItems>
  <colFields count="1">
    <field x="1"/>
  </colFields>
  <colItems count="2">
    <i>
      <x/>
    </i>
    <i>
      <x v="1"/>
    </i>
  </colItems>
  <dataFields count="8">
    <dataField name="Funded Loans" fld="0" subtotal="count" baseField="1" baseItem="0"/>
    <dataField name="Funded Amount" fld="3" subtotal="count" baseField="1" baseItem="0" numFmtId="165"/>
    <dataField name="Expected Amount" fld="8" subtotal="count" baseField="1" baseItem="0" numFmtId="165"/>
    <dataField name="Received Amount" fld="2" subtotal="count" baseField="1" baseItem="0" numFmtId="165"/>
    <dataField name="Growth % (Actuals vs Expected)" fld="4" subtotal="count" baseField="1" baseItem="0"/>
    <dataField name="Repayment Efficiency" fld="5" subtotal="average" baseField="1" baseItem="1" numFmtId="10"/>
    <dataField name="Risk %" fld="7" subtotal="count" baseField="1" baseItem="0"/>
    <dataField name="Fraud %" fld="6" subtotal="count" baseField="1" baseItem="0"/>
  </dataFields>
  <formats count="16">
    <format dxfId="150">
      <pivotArea grandRow="1" outline="0" collapsedLevelsAreSubtotals="1" fieldPosition="0"/>
    </format>
    <format dxfId="149">
      <pivotArea dataOnly="0" labelOnly="1" outline="0" fieldPosition="0">
        <references count="1">
          <reference field="4294967294" count="1">
            <x v="4"/>
          </reference>
        </references>
      </pivotArea>
    </format>
    <format dxfId="148">
      <pivotArea outline="0" fieldPosition="0">
        <references count="1">
          <reference field="4294967294" count="1">
            <x v="1"/>
          </reference>
        </references>
      </pivotArea>
    </format>
    <format dxfId="147">
      <pivotArea outline="0" fieldPosition="0">
        <references count="1">
          <reference field="4294967294" count="1">
            <x v="3"/>
          </reference>
        </references>
      </pivotArea>
    </format>
    <format dxfId="146">
      <pivotArea dataOnly="0" labelOnly="1" fieldPosition="0">
        <references count="1">
          <reference field="1" count="1">
            <x v="0"/>
          </reference>
        </references>
      </pivotArea>
    </format>
    <format dxfId="145">
      <pivotArea dataOnly="0" labelOnly="1" fieldPosition="0">
        <references count="1">
          <reference field="1" count="1">
            <x v="0"/>
          </reference>
        </references>
      </pivotArea>
    </format>
    <format dxfId="144">
      <pivotArea dataOnly="0" labelOnly="1" fieldPosition="0">
        <references count="1">
          <reference field="1" count="1">
            <x v="1"/>
          </reference>
        </references>
      </pivotArea>
    </format>
    <format dxfId="143">
      <pivotArea dataOnly="0" labelOnly="1" fieldPosition="0">
        <references count="1">
          <reference field="1" count="1">
            <x v="1"/>
          </reference>
        </references>
      </pivotArea>
    </format>
    <format dxfId="142">
      <pivotArea outline="0" collapsedLevelsAreSubtotals="1" fieldPosition="0"/>
    </format>
    <format dxfId="141">
      <pivotArea outline="0" collapsedLevelsAreSubtotals="1" fieldPosition="0"/>
    </format>
    <format dxfId="140">
      <pivotArea outline="0" fieldPosition="0">
        <references count="1">
          <reference field="4294967294" count="1">
            <x v="2"/>
          </reference>
        </references>
      </pivotArea>
    </format>
    <format dxfId="139">
      <pivotArea type="origin" dataOnly="0" labelOnly="1" outline="0" fieldPosition="0"/>
    </format>
    <format dxfId="138">
      <pivotArea field="1" type="button" dataOnly="0" labelOnly="1" outline="0" axis="axisCol" fieldPosition="0"/>
    </format>
    <format dxfId="137">
      <pivotArea type="topRight" dataOnly="0" labelOnly="1" outline="0" fieldPosition="0"/>
    </format>
    <format dxfId="136">
      <pivotArea field="-2" type="button" dataOnly="0" labelOnly="1" outline="0" axis="axisRow" fieldPosition="0"/>
    </format>
    <format dxfId="135">
      <pivotArea dataOnly="0" labelOnly="1" fieldPosition="0">
        <references count="1">
          <reference field="1" count="0"/>
        </references>
      </pivotArea>
    </format>
  </formats>
  <chartFormats count="2">
    <chartFormat chart="12" format="0"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Growth % (Actuals vs Expected)"/>
    <pivotHierarchy dragToRow="0" dragToCol="0" dragToPage="0" dragToData="1" caption="Expected Amount"/>
    <pivotHierarchy dragToRow="0" dragToCol="0" dragToPage="0" dragToData="1" caption="Received Amount"/>
    <pivotHierarchy dragToRow="0" dragToCol="0" dragToPage="0" dragToData="1" caption="Funded Loans"/>
    <pivotHierarchy dragToRow="0" dragToCol="0" dragToPage="0" dragToData="1" caption="Funded Amount"/>
    <pivotHierarchy dragToRow="0" dragToCol="0" dragToPage="0" dragToData="1"/>
    <pivotHierarchy dragToRow="0" dragToCol="0" dragToPage="0" dragToData="1"/>
    <pivotHierarchy dragToRow="0" dragToCol="0" dragToPage="0" dragToData="1"/>
    <pivotHierarchy dragToRow="0" dragToCol="0" dragToPage="0" dragToData="1" caption="Fraud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Risk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epayment Efficiency"/>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C6E227F-249F-4F45-BC79-81C13BFE71D1}" name="PivotTable1" cacheId="139" applyNumberFormats="0" applyBorderFormats="0" applyFontFormats="0" applyPatternFormats="0" applyAlignmentFormats="0" applyWidthHeightFormats="1" dataCaption="Values" tag="03fd90d7-4087-4208-9e91-5163d5088247" updatedVersion="8" minRefreshableVersion="3" subtotalHiddenItems="1" itemPrintTitles="1" createdVersion="8" indent="0" multipleFieldFilters="0" chartFormat="13">
  <location ref="B9:C15" firstHeaderRow="1" firstDataRow="1" firstDataCol="1"/>
  <pivotFields count="3">
    <pivotField dataField="1" showAll="0"/>
    <pivotField axis="axisRow" allDrilled="1" showAll="0" dataSourceSort="1" defaultAttributeDrillState="1">
      <items count="6">
        <item x="0"/>
        <item x="1"/>
        <item x="2"/>
        <item x="3"/>
        <item x="4"/>
        <item t="default"/>
      </items>
    </pivotField>
    <pivotField allDrilled="1" showAll="0" dataSourceSort="1"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24">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 count="1" selected="0">
            <x v="2"/>
          </reference>
        </references>
      </pivotArea>
    </chartFormat>
    <chartFormat chart="4" format="2">
      <pivotArea type="data" outline="0" fieldPosition="0">
        <references count="2">
          <reference field="4294967294" count="1" selected="0">
            <x v="0"/>
          </reference>
          <reference field="1" count="1" selected="0">
            <x v="1"/>
          </reference>
        </references>
      </pivotArea>
    </chartFormat>
    <chartFormat chart="4" format="3">
      <pivotArea type="data" outline="0" fieldPosition="0">
        <references count="2">
          <reference field="4294967294" count="1" selected="0">
            <x v="0"/>
          </reference>
          <reference field="1" count="1" selected="0">
            <x v="0"/>
          </reference>
        </references>
      </pivotArea>
    </chartFormat>
    <chartFormat chart="4" format="4">
      <pivotArea type="data" outline="0" fieldPosition="0">
        <references count="2">
          <reference field="4294967294" count="1" selected="0">
            <x v="0"/>
          </reference>
          <reference field="1" count="1" selected="0">
            <x v="3"/>
          </reference>
        </references>
      </pivotArea>
    </chartFormat>
    <chartFormat chart="4" format="5">
      <pivotArea type="data" outline="0" fieldPosition="0">
        <references count="2">
          <reference field="4294967294" count="1" selected="0">
            <x v="0"/>
          </reference>
          <reference field="1" count="1" selected="0">
            <x v="4"/>
          </reference>
        </references>
      </pivotArea>
    </chartFormat>
    <chartFormat chart="7" format="12" series="1">
      <pivotArea type="data" outline="0" fieldPosition="0">
        <references count="1">
          <reference field="4294967294" count="1" selected="0">
            <x v="0"/>
          </reference>
        </references>
      </pivotArea>
    </chartFormat>
    <chartFormat chart="7" format="13">
      <pivotArea type="data" outline="0" fieldPosition="0">
        <references count="2">
          <reference field="4294967294" count="1" selected="0">
            <x v="0"/>
          </reference>
          <reference field="1" count="1" selected="0">
            <x v="0"/>
          </reference>
        </references>
      </pivotArea>
    </chartFormat>
    <chartFormat chart="7" format="14">
      <pivotArea type="data" outline="0" fieldPosition="0">
        <references count="2">
          <reference field="4294967294" count="1" selected="0">
            <x v="0"/>
          </reference>
          <reference field="1" count="1" selected="0">
            <x v="1"/>
          </reference>
        </references>
      </pivotArea>
    </chartFormat>
    <chartFormat chart="7" format="15">
      <pivotArea type="data" outline="0" fieldPosition="0">
        <references count="2">
          <reference field="4294967294" count="1" selected="0">
            <x v="0"/>
          </reference>
          <reference field="1" count="1" selected="0">
            <x v="2"/>
          </reference>
        </references>
      </pivotArea>
    </chartFormat>
    <chartFormat chart="7" format="16">
      <pivotArea type="data" outline="0" fieldPosition="0">
        <references count="2">
          <reference field="4294967294" count="1" selected="0">
            <x v="0"/>
          </reference>
          <reference field="1" count="1" selected="0">
            <x v="3"/>
          </reference>
        </references>
      </pivotArea>
    </chartFormat>
    <chartFormat chart="7" format="17">
      <pivotArea type="data" outline="0" fieldPosition="0">
        <references count="2">
          <reference field="4294967294" count="1" selected="0">
            <x v="0"/>
          </reference>
          <reference field="1" count="1" selected="0">
            <x v="4"/>
          </reference>
        </references>
      </pivotArea>
    </chartFormat>
    <chartFormat chart="10" format="6" series="1">
      <pivotArea type="data" outline="0" fieldPosition="0">
        <references count="1">
          <reference field="4294967294" count="1" selected="0">
            <x v="0"/>
          </reference>
        </references>
      </pivotArea>
    </chartFormat>
    <chartFormat chart="10" format="7">
      <pivotArea type="data" outline="0" fieldPosition="0">
        <references count="2">
          <reference field="4294967294" count="1" selected="0">
            <x v="0"/>
          </reference>
          <reference field="1" count="1" selected="0">
            <x v="0"/>
          </reference>
        </references>
      </pivotArea>
    </chartFormat>
    <chartFormat chart="10" format="8">
      <pivotArea type="data" outline="0" fieldPosition="0">
        <references count="2">
          <reference field="4294967294" count="1" selected="0">
            <x v="0"/>
          </reference>
          <reference field="1" count="1" selected="0">
            <x v="1"/>
          </reference>
        </references>
      </pivotArea>
    </chartFormat>
    <chartFormat chart="10" format="9">
      <pivotArea type="data" outline="0" fieldPosition="0">
        <references count="2">
          <reference field="4294967294" count="1" selected="0">
            <x v="0"/>
          </reference>
          <reference field="1" count="1" selected="0">
            <x v="2"/>
          </reference>
        </references>
      </pivotArea>
    </chartFormat>
    <chartFormat chart="10" format="10">
      <pivotArea type="data" outline="0" fieldPosition="0">
        <references count="2">
          <reference field="4294967294" count="1" selected="0">
            <x v="0"/>
          </reference>
          <reference field="1" count="1" selected="0">
            <x v="3"/>
          </reference>
        </references>
      </pivotArea>
    </chartFormat>
    <chartFormat chart="10" format="11">
      <pivotArea type="data" outline="0" fieldPosition="0">
        <references count="2">
          <reference field="4294967294" count="1" selected="0">
            <x v="0"/>
          </reference>
          <reference field="1" count="1" selected="0">
            <x v="4"/>
          </reference>
        </references>
      </pivotArea>
    </chartFormat>
    <chartFormat chart="11" format="12" series="1">
      <pivotArea type="data" outline="0" fieldPosition="0">
        <references count="1">
          <reference field="4294967294" count="1" selected="0">
            <x v="0"/>
          </reference>
        </references>
      </pivotArea>
    </chartFormat>
    <chartFormat chart="11" format="13">
      <pivotArea type="data" outline="0" fieldPosition="0">
        <references count="2">
          <reference field="4294967294" count="1" selected="0">
            <x v="0"/>
          </reference>
          <reference field="1" count="1" selected="0">
            <x v="0"/>
          </reference>
        </references>
      </pivotArea>
    </chartFormat>
    <chartFormat chart="11" format="14">
      <pivotArea type="data" outline="0" fieldPosition="0">
        <references count="2">
          <reference field="4294967294" count="1" selected="0">
            <x v="0"/>
          </reference>
          <reference field="1" count="1" selected="0">
            <x v="1"/>
          </reference>
        </references>
      </pivotArea>
    </chartFormat>
    <chartFormat chart="11" format="15">
      <pivotArea type="data" outline="0" fieldPosition="0">
        <references count="2">
          <reference field="4294967294" count="1" selected="0">
            <x v="0"/>
          </reference>
          <reference field="1" count="1" selected="0">
            <x v="2"/>
          </reference>
        </references>
      </pivotArea>
    </chartFormat>
    <chartFormat chart="11" format="16">
      <pivotArea type="data" outline="0" fieldPosition="0">
        <references count="2">
          <reference field="4294967294" count="1" selected="0">
            <x v="0"/>
          </reference>
          <reference field="1" count="1" selected="0">
            <x v="3"/>
          </reference>
        </references>
      </pivotArea>
    </chartFormat>
    <chartFormat chart="11" format="17">
      <pivotArea type="data" outline="0" fieldPosition="0">
        <references count="2">
          <reference field="4294967294" count="1" selected="0">
            <x v="0"/>
          </reference>
          <reference field="1" count="1" selected="0">
            <x v="4"/>
          </reference>
        </references>
      </pivotArea>
    </chartFormat>
  </chartFormats>
  <pivotHierarchies count="93">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135CF4C8-57E0-43B9-8BDC-C358D43189BE}" name="PivotTable7" cacheId="154" applyNumberFormats="0" applyBorderFormats="0" applyFontFormats="0" applyPatternFormats="0" applyAlignmentFormats="0" applyWidthHeightFormats="1" dataCaption="Values" tag="cf6c5c40-ae4f-416d-99cf-a1ed44fab02d" updatedVersion="8" minRefreshableVersion="3" subtotalHiddenItems="1" rowGrandTotals="0" colGrandTotals="0" itemPrintTitles="1" createdVersion="8" indent="0" multipleFieldFilters="0" chartFormat="20">
  <location ref="I55:K62" firstHeaderRow="0" firstDataRow="1" firstDataCol="1"/>
  <pivotFields count="4">
    <pivotField axis="axisRow" allDrilled="1" subtotalTop="0" showAll="0" sortType="ascending" defaultSubtotal="0" defaultAttributeDrillState="1">
      <items count="7">
        <item x="0"/>
        <item x="1"/>
        <item x="2"/>
        <item x="3"/>
        <item x="4"/>
        <item x="5"/>
        <item x="6"/>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x v="6"/>
    </i>
  </rowItems>
  <colFields count="1">
    <field x="-2"/>
  </colFields>
  <colItems count="2">
    <i>
      <x/>
    </i>
    <i i="1">
      <x v="1"/>
    </i>
  </colItems>
  <dataFields count="2">
    <dataField fld="1" subtotal="count" baseField="0" baseItem="0"/>
    <dataField fld="2" subtotal="count" baseField="0" baseItem="0"/>
  </dataFields>
  <formats count="1">
    <format dxfId="151">
      <pivotArea grandRow="1" outline="0" collapsedLevelsAreSubtotals="1" fieldPosition="0"/>
    </format>
  </formats>
  <chartFormats count="4">
    <chartFormat chart="16" format="0" series="1">
      <pivotArea type="data" outline="0" fieldPosition="0">
        <references count="1">
          <reference field="4294967294" count="1" selected="0">
            <x v="0"/>
          </reference>
        </references>
      </pivotArea>
    </chartFormat>
    <chartFormat chart="16" format="1" series="1">
      <pivotArea type="data" outline="0" fieldPosition="0">
        <references count="1">
          <reference field="4294967294" count="1" selected="0">
            <x v="1"/>
          </reference>
        </references>
      </pivotArea>
    </chartFormat>
    <chartFormat chart="19" format="4" series="1">
      <pivotArea type="data" outline="0" fieldPosition="0">
        <references count="1">
          <reference field="4294967294" count="1" selected="0">
            <x v="0"/>
          </reference>
        </references>
      </pivotArea>
    </chartFormat>
    <chartFormat chart="19" format="5" series="1">
      <pivotArea type="data" outline="0" fieldPosition="0">
        <references count="1">
          <reference field="4294967294" count="1" selected="0">
            <x v="1"/>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70A54616-066C-4B14-8794-55F4E0E1D489}" name="PivotTable8" cacheId="157" dataOnRows="1" applyNumberFormats="0" applyBorderFormats="0" applyFontFormats="0" applyPatternFormats="0" applyAlignmentFormats="0" applyWidthHeightFormats="1" dataCaption="Values" tag="3eb369c6-265f-4e7f-a4a3-36b7d7bcf70f" updatedVersion="8" minRefreshableVersion="3" subtotalHiddenItems="1" rowGrandTotals="0" colGrandTotals="0" itemPrintTitles="1" createdVersion="8" indent="0" multipleFieldFilters="0" chartFormat="16">
  <location ref="B56:C58"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2">
    <i>
      <x/>
    </i>
    <i>
      <x v="1"/>
    </i>
  </rowItems>
  <colItems count="1">
    <i/>
  </colItems>
  <dataFields count="1">
    <dataField fld="1" subtotal="count" baseField="0" baseItem="0"/>
  </dataFields>
  <formats count="1">
    <format dxfId="152">
      <pivotArea grandRow="1" outline="0" collapsedLevelsAreSubtotals="1" fieldPosition="0"/>
    </format>
  </formats>
  <chartFormats count="7">
    <chartFormat chart="12" format="0"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 chart="15" format="5">
      <pivotArea type="data" outline="0" fieldPosition="0">
        <references count="2">
          <reference field="4294967294" count="1" selected="0">
            <x v="0"/>
          </reference>
          <reference field="0" count="1" selected="0">
            <x v="0"/>
          </reference>
        </references>
      </pivotArea>
    </chartFormat>
    <chartFormat chart="15" format="6">
      <pivotArea type="data" outline="0" fieldPosition="0">
        <references count="2">
          <reference field="4294967294" count="1" selected="0">
            <x v="0"/>
          </reference>
          <reference field="0" count="1" selected="0">
            <x v="1"/>
          </reference>
        </references>
      </pivotArea>
    </chartFormat>
    <chartFormat chart="12" format="1">
      <pivotArea type="data" outline="0" fieldPosition="0">
        <references count="2">
          <reference field="4294967294" count="1" selected="0">
            <x v="0"/>
          </reference>
          <reference field="0" count="1" selected="0">
            <x v="0"/>
          </reference>
        </references>
      </pivotArea>
    </chartFormat>
    <chartFormat chart="12" format="2">
      <pivotArea type="data" outline="0" fieldPosition="0">
        <references count="2">
          <reference field="4294967294" count="1" selected="0">
            <x v="0"/>
          </reference>
          <reference field="0" count="1" selected="0">
            <x v="1"/>
          </reference>
        </references>
      </pivotArea>
    </chartFormat>
    <chartFormat chart="12" format="3">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F7A9E21A-5841-477E-A26C-C429BA416009}" name="PivotTable12" cacheId="166" applyNumberFormats="0" applyBorderFormats="0" applyFontFormats="0" applyPatternFormats="0" applyAlignmentFormats="0" applyWidthHeightFormats="1" dataCaption="Values" tag="0f1c4e55-55ed-4f84-9bdc-08cb94cfc7f1" updatedVersion="8" minRefreshableVersion="3" subtotalHiddenItems="1" rowGrandTotals="0" colGrandTotals="0" itemPrintTitles="1" createdVersion="8" indent="0" multipleFieldFilters="0" chartFormat="25" rowHeaderCaption="">
  <location ref="B99:D103" firstHeaderRow="1" firstDataRow="2" firstDataCol="1"/>
  <pivotFields count="5">
    <pivotField allDrilled="1" subtotalTop="0" showAll="0" sortType="ascending" defaultSubtotal="0" defaultAttributeDrillState="1">
      <items count="7">
        <item x="0"/>
        <item x="1"/>
        <item x="2"/>
        <item x="3"/>
        <item x="4"/>
        <item x="5"/>
        <item x="6"/>
      </items>
    </pivotField>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1"/>
  </rowFields>
  <rowItems count="3">
    <i>
      <x/>
    </i>
    <i>
      <x v="1"/>
    </i>
    <i>
      <x v="2"/>
    </i>
  </rowItems>
  <colFields count="1">
    <field x="2"/>
  </colFields>
  <colItems count="2">
    <i>
      <x/>
    </i>
    <i>
      <x v="1"/>
    </i>
  </colItems>
  <dataFields count="1">
    <dataField fld="3" subtotal="count" baseField="0" baseItem="0"/>
  </dataFields>
  <formats count="1">
    <format dxfId="153">
      <pivotArea grandRow="1" outline="0" collapsedLevelsAreSubtotals="1" fieldPosition="0"/>
    </format>
  </formats>
  <chartFormats count="14">
    <chartFormat chart="20" format="0" series="1">
      <pivotArea type="data" outline="0" fieldPosition="0">
        <references count="2">
          <reference field="4294967294" count="1" selected="0">
            <x v="0"/>
          </reference>
          <reference field="2" count="1" selected="0">
            <x v="0"/>
          </reference>
        </references>
      </pivotArea>
    </chartFormat>
    <chartFormat chart="20" format="1" series="1">
      <pivotArea type="data" outline="0" fieldPosition="0">
        <references count="2">
          <reference field="4294967294" count="1" selected="0">
            <x v="0"/>
          </reference>
          <reference field="2" count="1" selected="0">
            <x v="1"/>
          </reference>
        </references>
      </pivotArea>
    </chartFormat>
    <chartFormat chart="20" format="2">
      <pivotArea type="data" outline="0" fieldPosition="0">
        <references count="3">
          <reference field="4294967294" count="1" selected="0">
            <x v="0"/>
          </reference>
          <reference field="1" count="1" selected="0">
            <x v="1"/>
          </reference>
          <reference field="2" count="1" selected="0">
            <x v="0"/>
          </reference>
        </references>
      </pivotArea>
    </chartFormat>
    <chartFormat chart="20" format="3">
      <pivotArea type="data" outline="0" fieldPosition="0">
        <references count="3">
          <reference field="4294967294" count="1" selected="0">
            <x v="0"/>
          </reference>
          <reference field="1" count="1" selected="0">
            <x v="1"/>
          </reference>
          <reference field="2" count="1" selected="0">
            <x v="1"/>
          </reference>
        </references>
      </pivotArea>
    </chartFormat>
    <chartFormat chart="24" format="8" series="1">
      <pivotArea type="data" outline="0" fieldPosition="0">
        <references count="2">
          <reference field="4294967294" count="1" selected="0">
            <x v="0"/>
          </reference>
          <reference field="2" count="1" selected="0">
            <x v="0"/>
          </reference>
        </references>
      </pivotArea>
    </chartFormat>
    <chartFormat chart="24" format="9">
      <pivotArea type="data" outline="0" fieldPosition="0">
        <references count="3">
          <reference field="4294967294" count="1" selected="0">
            <x v="0"/>
          </reference>
          <reference field="1" count="1" selected="0">
            <x v="1"/>
          </reference>
          <reference field="2" count="1" selected="0">
            <x v="0"/>
          </reference>
        </references>
      </pivotArea>
    </chartFormat>
    <chartFormat chart="24" format="10" series="1">
      <pivotArea type="data" outline="0" fieldPosition="0">
        <references count="2">
          <reference field="4294967294" count="1" selected="0">
            <x v="0"/>
          </reference>
          <reference field="2" count="1" selected="0">
            <x v="1"/>
          </reference>
        </references>
      </pivotArea>
    </chartFormat>
    <chartFormat chart="24" format="11">
      <pivotArea type="data" outline="0" fieldPosition="0">
        <references count="3">
          <reference field="4294967294" count="1" selected="0">
            <x v="0"/>
          </reference>
          <reference field="1" count="1" selected="0">
            <x v="1"/>
          </reference>
          <reference field="2" count="1" selected="0">
            <x v="1"/>
          </reference>
        </references>
      </pivotArea>
    </chartFormat>
    <chartFormat chart="24" format="12">
      <pivotArea type="data" outline="0" fieldPosition="0">
        <references count="3">
          <reference field="4294967294" count="1" selected="0">
            <x v="0"/>
          </reference>
          <reference field="1" count="1" selected="0">
            <x v="0"/>
          </reference>
          <reference field="2" count="1" selected="0">
            <x v="1"/>
          </reference>
        </references>
      </pivotArea>
    </chartFormat>
    <chartFormat chart="20" format="4" series="1">
      <pivotArea type="data" outline="0" fieldPosition="0">
        <references count="1">
          <reference field="4294967294" count="1" selected="0">
            <x v="0"/>
          </reference>
        </references>
      </pivotArea>
    </chartFormat>
    <chartFormat chart="20" format="5">
      <pivotArea type="data" outline="0" fieldPosition="0">
        <references count="2">
          <reference field="4294967294" count="1" selected="0">
            <x v="0"/>
          </reference>
          <reference field="1" count="1" selected="0">
            <x v="2"/>
          </reference>
        </references>
      </pivotArea>
    </chartFormat>
    <chartFormat chart="24" format="13" series="1">
      <pivotArea type="data" outline="0" fieldPosition="0">
        <references count="1">
          <reference field="4294967294" count="1" selected="0">
            <x v="0"/>
          </reference>
        </references>
      </pivotArea>
    </chartFormat>
    <chartFormat chart="20" format="6">
      <pivotArea type="data" outline="0" fieldPosition="0">
        <references count="3">
          <reference field="4294967294" count="1" selected="0">
            <x v="0"/>
          </reference>
          <reference field="1" count="1" selected="0">
            <x v="2"/>
          </reference>
          <reference field="2" count="1" selected="0">
            <x v="0"/>
          </reference>
        </references>
      </pivotArea>
    </chartFormat>
    <chartFormat chart="20" format="7">
      <pivotArea type="data" outline="0" fieldPosition="0">
        <references count="3">
          <reference field="4294967294" count="1" selected="0">
            <x v="0"/>
          </reference>
          <reference field="1" count="1" selected="0">
            <x v="2"/>
          </reference>
          <reference field="2" count="1" selected="0">
            <x v="1"/>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EF8323EF-8312-45F9-88C0-51AB4A60B8F5}" name="PivotTable13" cacheId="169" applyNumberFormats="0" applyBorderFormats="0" applyFontFormats="0" applyPatternFormats="0" applyAlignmentFormats="0" applyWidthHeightFormats="1" dataCaption="Values" tag="6e9927cc-a090-45ce-a127-104144b3833d" updatedVersion="8" minRefreshableVersion="3" subtotalHiddenItems="1" rowGrandTotals="0" colGrandTotals="0" itemPrintTitles="1" createdVersion="8" indent="0" multipleFieldFilters="0" chartFormat="29" rowHeaderCaption="">
  <location ref="I97:J103" firstHeaderRow="1" firstDataRow="2" firstDataCol="1"/>
  <pivotFields count="5">
    <pivotField allDrilled="1" subtotalTop="0" showAll="0" sortType="ascending" defaultSubtotal="0" defaultAttributeDrillState="1">
      <items count="7">
        <item x="0"/>
        <item x="1"/>
        <item x="2"/>
        <item x="3"/>
        <item x="4"/>
        <item x="5"/>
        <item x="6"/>
      </items>
    </pivotField>
    <pivotField axis="axisRow" allDrilled="1" subtotalTop="0" showAll="0" dataSourceSort="1" defaultSubtotal="0" defaultAttributeDrillState="1">
      <items count="5">
        <item x="0"/>
        <item x="1"/>
        <item x="2"/>
        <item x="3"/>
        <item x="4"/>
      </items>
    </pivotField>
    <pivotField axis="axisCol"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x v="4"/>
    </i>
  </rowItems>
  <colFields count="1">
    <field x="2"/>
  </colFields>
  <colItems count="1">
    <i>
      <x/>
    </i>
  </colItems>
  <dataFields count="1">
    <dataField fld="3" subtotal="count" baseField="0" baseItem="0"/>
  </dataFields>
  <formats count="1">
    <format dxfId="154">
      <pivotArea grandRow="1" outline="0" collapsedLevelsAreSubtotals="1" fieldPosition="0"/>
    </format>
  </formats>
  <chartFormats count="2">
    <chartFormat chart="25"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A5663780-69C9-49DB-B4CE-413680315AB4}" name="PivotTable19" cacheId="280" applyNumberFormats="0" applyBorderFormats="0" applyFontFormats="0" applyPatternFormats="0" applyAlignmentFormats="0" applyWidthHeightFormats="1" dataCaption="Values" tag="0cc229e6-3c0c-48b9-b6f8-4158bef07cb3" updatedVersion="8" minRefreshableVersion="5" subtotalHiddenItems="1" rowGrandTotals="0" colGrandTotals="0" itemPrintTitles="1" createdVersion="8" indent="0" multipleFieldFilters="0" chartFormat="25" rowHeaderCaption="">
  <location ref="C179:E206" firstHeaderRow="0" firstDataRow="1" firstDataCol="1"/>
  <pivotFields count="4">
    <pivotField allDrilled="1" subtotalTop="0" showAll="0" sortType="ascending" defaultSubtotal="0" defaultAttributeDrillState="1">
      <items count="7">
        <item x="0"/>
        <item x="1"/>
        <item x="2"/>
        <item x="3"/>
        <item x="4"/>
        <item x="5"/>
        <item x="6"/>
      </items>
    </pivotField>
    <pivotField axis="axisRow" allDrilled="1" subtotalTop="0" showAll="0" dataSourceSort="1" defaultSubtotal="0" defaultAttributeDrillState="1">
      <items count="27">
        <item x="0"/>
        <item x="1"/>
        <item x="2"/>
        <item x="3"/>
        <item x="4"/>
        <item x="5"/>
        <item x="6"/>
        <item x="7"/>
        <item x="8"/>
        <item x="9"/>
        <item x="10"/>
        <item x="11"/>
        <item x="12"/>
        <item x="13"/>
        <item x="14"/>
        <item x="15"/>
        <item x="16"/>
        <item x="17"/>
        <item x="18"/>
        <item x="19"/>
        <item x="20"/>
        <item x="21"/>
        <item x="22"/>
        <item x="23"/>
        <item x="24"/>
        <item x="25"/>
        <item x="26"/>
      </items>
    </pivotField>
    <pivotField dataField="1" subtotalTop="0" showAll="0" defaultSubtotal="0"/>
    <pivotField dataField="1" subtotalTop="0" showAll="0" defaultSubtotal="0"/>
  </pivotFields>
  <rowFields count="1">
    <field x="1"/>
  </rowFields>
  <rowItems count="27">
    <i>
      <x/>
    </i>
    <i>
      <x v="1"/>
    </i>
    <i>
      <x v="2"/>
    </i>
    <i>
      <x v="3"/>
    </i>
    <i>
      <x v="4"/>
    </i>
    <i>
      <x v="5"/>
    </i>
    <i>
      <x v="6"/>
    </i>
    <i>
      <x v="7"/>
    </i>
    <i>
      <x v="8"/>
    </i>
    <i>
      <x v="9"/>
    </i>
    <i>
      <x v="10"/>
    </i>
    <i>
      <x v="11"/>
    </i>
    <i>
      <x v="12"/>
    </i>
    <i>
      <x v="13"/>
    </i>
    <i>
      <x v="14"/>
    </i>
    <i>
      <x v="15"/>
    </i>
    <i>
      <x v="16"/>
    </i>
    <i>
      <x v="17"/>
    </i>
    <i>
      <x v="18"/>
    </i>
    <i>
      <x v="19"/>
    </i>
    <i>
      <x v="20"/>
    </i>
    <i>
      <x v="21"/>
    </i>
    <i>
      <x v="22"/>
    </i>
    <i>
      <x v="23"/>
    </i>
    <i>
      <x v="24"/>
    </i>
    <i>
      <x v="25"/>
    </i>
    <i>
      <x v="26"/>
    </i>
  </rowItems>
  <colFields count="1">
    <field x="-2"/>
  </colFields>
  <colItems count="2">
    <i>
      <x/>
    </i>
    <i i="1">
      <x v="1"/>
    </i>
  </colItems>
  <dataFields count="2">
    <dataField fld="3" subtotal="count" baseField="0" baseItem="0"/>
    <dataField fld="2" subtotal="count" baseField="0" baseItem="0"/>
  </dataFields>
  <formats count="1">
    <format dxfId="155">
      <pivotArea grandRow="1" outline="0" collapsedLevelsAreSubtotals="1" fieldPosition="0"/>
    </format>
  </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88CE79C9-6B1F-4D09-A0DD-C7B0E5F88E55}" name="PivotTable17" cacheId="181" dataOnRows="1" applyNumberFormats="0" applyBorderFormats="0" applyFontFormats="0" applyPatternFormats="0" applyAlignmentFormats="0" applyWidthHeightFormats="1" dataCaption="Values" tag="57fec627-706c-4e77-8cd4-c77622de8a70" updatedVersion="8" minRefreshableVersion="3" subtotalHiddenItems="1" rowGrandTotals="0" colGrandTotals="0" itemPrintTitles="1" createdVersion="8" indent="0" multipleFieldFilters="0" chartFormat="25" rowHeaderCaption="" colHeaderCaption="">
  <location ref="K123:O145" firstHeaderRow="1" firstDataRow="3" firstDataCol="1"/>
  <pivotFields count="9">
    <pivotField allDrilled="1" subtotalTop="0" showAll="0" sortType="ascending" defaultSubtotal="0" defaultAttributeDrillState="1">
      <items count="7">
        <item x="0"/>
        <item x="1"/>
        <item x="2"/>
        <item x="3"/>
        <item x="4"/>
        <item x="5"/>
        <item x="6"/>
      </items>
    </pivotField>
    <pivotField axis="axisCol" allDrilled="1" subtotalTop="0" showAll="0" dataSourceSort="1" defaultSubtotal="0" defaultAttributeDrillState="1">
      <items count="2">
        <item x="0"/>
        <item x="1"/>
      </items>
    </pivotField>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2">
    <field x="3"/>
    <field x="-2"/>
  </rowFields>
  <rowItems count="20">
    <i>
      <x/>
    </i>
    <i r="1">
      <x/>
    </i>
    <i r="1" i="1">
      <x v="1"/>
    </i>
    <i r="1" i="2">
      <x v="2"/>
    </i>
    <i r="1" i="3">
      <x v="3"/>
    </i>
    <i>
      <x v="1"/>
    </i>
    <i r="1">
      <x/>
    </i>
    <i r="1" i="1">
      <x v="1"/>
    </i>
    <i r="1" i="2">
      <x v="2"/>
    </i>
    <i r="1" i="3">
      <x v="3"/>
    </i>
    <i>
      <x v="2"/>
    </i>
    <i r="1">
      <x/>
    </i>
    <i r="1" i="1">
      <x v="1"/>
    </i>
    <i r="1" i="2">
      <x v="2"/>
    </i>
    <i r="1" i="3">
      <x v="3"/>
    </i>
    <i>
      <x v="3"/>
    </i>
    <i r="1">
      <x/>
    </i>
    <i r="1" i="1">
      <x v="1"/>
    </i>
    <i r="1" i="2">
      <x v="2"/>
    </i>
    <i r="1" i="3">
      <x v="3"/>
    </i>
  </rowItems>
  <colFields count="2">
    <field x="2"/>
    <field x="1"/>
  </colFields>
  <colItems count="4">
    <i>
      <x/>
      <x/>
    </i>
    <i r="1">
      <x v="1"/>
    </i>
    <i>
      <x v="1"/>
      <x/>
    </i>
    <i r="1">
      <x v="1"/>
    </i>
  </colItems>
  <dataFields count="4">
    <dataField name="Funded Loans" fld="4" subtotal="count" baseField="3" baseItem="0"/>
    <dataField name="Repayment Efficiency" fld="5" subtotal="average" baseField="3" baseItem="0" numFmtId="10"/>
    <dataField name="Ownership Flags" fld="6" subtotal="count" baseField="3" baseItem="0"/>
    <dataField name="Avg Loan Amount" fld="7" subtotal="average" baseField="3" baseItem="2" numFmtId="170"/>
  </dataFields>
  <formats count="25">
    <format dxfId="180">
      <pivotArea grandRow="1" outline="0" collapsedLevelsAreSubtotals="1" fieldPosition="0"/>
    </format>
    <format dxfId="179">
      <pivotArea outline="0" fieldPosition="0">
        <references count="1">
          <reference field="4294967294" count="1">
            <x v="1"/>
          </reference>
        </references>
      </pivotArea>
    </format>
    <format dxfId="178">
      <pivotArea outline="0" fieldPosition="0">
        <references count="1">
          <reference field="4294967294" count="1">
            <x v="3"/>
          </reference>
        </references>
      </pivotArea>
    </format>
    <format dxfId="177">
      <pivotArea outline="0" collapsedLevelsAreSubtotals="1" fieldPosition="0"/>
    </format>
    <format dxfId="176">
      <pivotArea dataOnly="0" labelOnly="1" fieldPosition="0">
        <references count="1">
          <reference field="2" count="0"/>
        </references>
      </pivotArea>
    </format>
    <format dxfId="175">
      <pivotArea dataOnly="0" labelOnly="1" fieldPosition="0">
        <references count="2">
          <reference field="1" count="0"/>
          <reference field="2" count="1" selected="0">
            <x v="0"/>
          </reference>
        </references>
      </pivotArea>
    </format>
    <format dxfId="174">
      <pivotArea dataOnly="0" labelOnly="1" fieldPosition="0">
        <references count="2">
          <reference field="1" count="0"/>
          <reference field="2" count="1" selected="0">
            <x v="1"/>
          </reference>
        </references>
      </pivotArea>
    </format>
    <format dxfId="173">
      <pivotArea outline="0" collapsedLevelsAreSubtotals="1" fieldPosition="0"/>
    </format>
    <format dxfId="172">
      <pivotArea dataOnly="0" labelOnly="1" fieldPosition="0">
        <references count="1">
          <reference field="2" count="0"/>
        </references>
      </pivotArea>
    </format>
    <format dxfId="171">
      <pivotArea dataOnly="0" labelOnly="1" fieldPosition="0">
        <references count="2">
          <reference field="1" count="0"/>
          <reference field="2" count="1" selected="0">
            <x v="0"/>
          </reference>
        </references>
      </pivotArea>
    </format>
    <format dxfId="170">
      <pivotArea dataOnly="0" labelOnly="1" fieldPosition="0">
        <references count="2">
          <reference field="1" count="0"/>
          <reference field="2" count="1" selected="0">
            <x v="1"/>
          </reference>
        </references>
      </pivotArea>
    </format>
    <format dxfId="169">
      <pivotArea type="origin" dataOnly="0" labelOnly="1" outline="0" offset="A2" fieldPosition="0"/>
    </format>
    <format dxfId="168">
      <pivotArea field="3" type="button" dataOnly="0" labelOnly="1" outline="0" axis="axisRow" fieldPosition="0"/>
    </format>
    <format dxfId="167">
      <pivotArea dataOnly="0" labelOnly="1" fieldPosition="0">
        <references count="1">
          <reference field="2" count="0"/>
        </references>
      </pivotArea>
    </format>
    <format dxfId="166">
      <pivotArea dataOnly="0" labelOnly="1" fieldPosition="0">
        <references count="2">
          <reference field="1" count="0"/>
          <reference field="2" count="1" selected="0">
            <x v="0"/>
          </reference>
        </references>
      </pivotArea>
    </format>
    <format dxfId="165">
      <pivotArea dataOnly="0" labelOnly="1" fieldPosition="0">
        <references count="2">
          <reference field="1" count="0"/>
          <reference field="2" count="1" selected="0">
            <x v="1"/>
          </reference>
        </references>
      </pivotArea>
    </format>
    <format dxfId="164">
      <pivotArea type="origin" dataOnly="0" labelOnly="1" outline="0" offset="A1" fieldPosition="0"/>
    </format>
    <format dxfId="163">
      <pivotArea field="2" type="button" dataOnly="0" labelOnly="1" outline="0" axis="axisCol" fieldPosition="0"/>
    </format>
    <format dxfId="162">
      <pivotArea field="1" type="button" dataOnly="0" labelOnly="1" outline="0" axis="axisCol" fieldPosition="1"/>
    </format>
    <format dxfId="161">
      <pivotArea type="topRight" dataOnly="0" labelOnly="1" outline="0" fieldPosition="0"/>
    </format>
    <format dxfId="160">
      <pivotArea type="origin" dataOnly="0" labelOnly="1" outline="0" offset="A2" fieldPosition="0"/>
    </format>
    <format dxfId="159">
      <pivotArea dataOnly="0" labelOnly="1" fieldPosition="0">
        <references count="1">
          <reference field="2" count="0"/>
        </references>
      </pivotArea>
    </format>
    <format dxfId="158">
      <pivotArea outline="0" collapsedLevelsAreSubtotals="1" fieldPosition="0">
        <references count="2">
          <reference field="1" count="1" selected="0">
            <x v="0"/>
          </reference>
          <reference field="2" count="1" selected="0">
            <x v="0"/>
          </reference>
        </references>
      </pivotArea>
    </format>
    <format dxfId="157">
      <pivotArea outline="0" collapsedLevelsAreSubtotals="1" fieldPosition="0">
        <references count="2">
          <reference field="1" count="1" selected="0">
            <x v="1"/>
          </reference>
          <reference field="2" count="1" selected="0">
            <x v="0"/>
          </reference>
        </references>
      </pivotArea>
    </format>
    <format dxfId="156">
      <pivotArea outline="0" collapsedLevelsAreSubtotals="1" fieldPosition="0">
        <references count="2">
          <reference field="1" count="1" selected="0">
            <x v="0"/>
          </reference>
          <reference field="2" count="1" selected="0">
            <x v="1"/>
          </reference>
        </references>
      </pivotArea>
    </format>
  </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Funded Loa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Ownership Flags"/>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epayment Efficiency"/>
    <pivotHierarchy dragToData="1"/>
    <pivotHierarchy dragToData="1"/>
    <pivotHierarchy dragToData="1" caption="Avg Annual Income"/>
    <pivotHierarchy dragToData="1"/>
    <pivotHierarchy dragToData="1" caption="Avg Loan Amount"/>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4"/>
    <rowHierarchyUsage hierarchyUsage="-2"/>
  </rowHierarchiesUsage>
  <colHierarchiesUsage count="2">
    <colHierarchyUsage hierarchyUsage="35"/>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9B7CD1D6-726F-4E45-BA0A-8569701D9EF0}" name="PivotTable23" cacheId="289" applyNumberFormats="0" applyBorderFormats="0" applyFontFormats="0" applyPatternFormats="0" applyAlignmentFormats="0" applyWidthHeightFormats="1" dataCaption="Values" tag="62b6ec6a-fff5-413f-a167-b4908dd6bca4" updatedVersion="8" minRefreshableVersion="5" subtotalHiddenItems="1" rowGrandTotals="0" colGrandTotals="0" itemPrintTitles="1" createdVersion="8" indent="0" multipleFieldFilters="0" chartFormat="31" rowHeaderCaption="States">
  <location ref="J255:P260" firstHeaderRow="0" firstDataRow="1" firstDataCol="1"/>
  <pivotFields count="8">
    <pivotField allDrilled="1" subtotalTop="0" showAll="0" sortType="ascending" defaultSubtotal="0" defaultAttributeDrillState="1">
      <items count="7">
        <item x="0"/>
        <item x="1"/>
        <item x="2"/>
        <item x="3"/>
        <item x="4"/>
        <item x="5"/>
        <item x="6"/>
      </items>
    </pivotField>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4"/>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5">
    <i>
      <x v="1"/>
    </i>
    <i>
      <x/>
    </i>
    <i>
      <x v="2"/>
    </i>
    <i>
      <x v="4"/>
    </i>
    <i>
      <x v="3"/>
    </i>
  </rowItems>
  <colFields count="1">
    <field x="-2"/>
  </colFields>
  <colItems count="6">
    <i>
      <x/>
    </i>
    <i i="1">
      <x v="1"/>
    </i>
    <i i="2">
      <x v="2"/>
    </i>
    <i i="3">
      <x v="3"/>
    </i>
    <i i="4">
      <x v="4"/>
    </i>
    <i i="5">
      <x v="5"/>
    </i>
  </colItems>
  <dataFields count="6">
    <dataField name="Unemp Rate" fld="6" subtotal="average" baseField="2" baseItem="1" numFmtId="171"/>
    <dataField name="Avg Annual Inc" fld="3" subtotal="average" baseField="2" baseItem="1" numFmtId="170"/>
    <dataField name="Avg Loan Amt" fld="4" subtotal="average" baseField="2" baseItem="1" numFmtId="170"/>
    <dataField name="Avg Int Rate" fld="5" subtotal="count" baseField="2" baseItem="1" numFmtId="172"/>
    <dataField fld="7" subtotal="count" baseField="0" baseItem="0"/>
    <dataField name="Funded Loans" fld="1" subtotal="count" baseField="2" baseItem="1" numFmtId="1"/>
  </dataFields>
  <formats count="23">
    <format dxfId="203">
      <pivotArea grandRow="1" outline="0" collapsedLevelsAreSubtotals="1" fieldPosition="0"/>
    </format>
    <format dxfId="202">
      <pivotArea outline="0" fieldPosition="0">
        <references count="1">
          <reference field="4294967294" count="1">
            <x v="5"/>
          </reference>
        </references>
      </pivotArea>
    </format>
    <format dxfId="201">
      <pivotArea outline="0" fieldPosition="0">
        <references count="1">
          <reference field="4294967294" count="1">
            <x v="1"/>
          </reference>
        </references>
      </pivotArea>
    </format>
    <format dxfId="200">
      <pivotArea outline="0" fieldPosition="0">
        <references count="1">
          <reference field="4294967294" count="1">
            <x v="2"/>
          </reference>
        </references>
      </pivotArea>
    </format>
    <format dxfId="199">
      <pivotArea outline="0" fieldPosition="0">
        <references count="1">
          <reference field="4294967294" count="1">
            <x v="3"/>
          </reference>
        </references>
      </pivotArea>
    </format>
    <format dxfId="198">
      <pivotArea outline="0" fieldPosition="0">
        <references count="1">
          <reference field="4294967294" count="1">
            <x v="0"/>
          </reference>
        </references>
      </pivotArea>
    </format>
    <format dxfId="197">
      <pivotArea type="all" dataOnly="0" outline="0" fieldPosition="0"/>
    </format>
    <format dxfId="196">
      <pivotArea outline="0" collapsedLevelsAreSubtotals="1" fieldPosition="0"/>
    </format>
    <format dxfId="195">
      <pivotArea field="2" type="button" dataOnly="0" labelOnly="1" outline="0" axis="axisRow" fieldPosition="0"/>
    </format>
    <format dxfId="194">
      <pivotArea dataOnly="0" labelOnly="1" fieldPosition="0">
        <references count="1">
          <reference field="2" count="0"/>
        </references>
      </pivotArea>
    </format>
    <format dxfId="193">
      <pivotArea dataOnly="0" labelOnly="1" outline="0" fieldPosition="0">
        <references count="1">
          <reference field="4294967294" count="6">
            <x v="0"/>
            <x v="1"/>
            <x v="2"/>
            <x v="3"/>
            <x v="4"/>
            <x v="5"/>
          </reference>
        </references>
      </pivotArea>
    </format>
    <format dxfId="192">
      <pivotArea type="all" dataOnly="0" outline="0" fieldPosition="0"/>
    </format>
    <format dxfId="191">
      <pivotArea outline="0" collapsedLevelsAreSubtotals="1" fieldPosition="0"/>
    </format>
    <format dxfId="190">
      <pivotArea field="2" type="button" dataOnly="0" labelOnly="1" outline="0" axis="axisRow" fieldPosition="0"/>
    </format>
    <format dxfId="189">
      <pivotArea dataOnly="0" labelOnly="1" fieldPosition="0">
        <references count="1">
          <reference field="2" count="0"/>
        </references>
      </pivotArea>
    </format>
    <format dxfId="188">
      <pivotArea dataOnly="0" labelOnly="1" outline="0" fieldPosition="0">
        <references count="1">
          <reference field="4294967294" count="6">
            <x v="0"/>
            <x v="1"/>
            <x v="2"/>
            <x v="3"/>
            <x v="4"/>
            <x v="5"/>
          </reference>
        </references>
      </pivotArea>
    </format>
    <format dxfId="187">
      <pivotArea outline="0" collapsedLevelsAreSubtotals="1" fieldPosition="0">
        <references count="1">
          <reference field="4294967294" count="1" selected="0">
            <x v="0"/>
          </reference>
        </references>
      </pivotArea>
    </format>
    <format dxfId="186">
      <pivotArea outline="0" collapsedLevelsAreSubtotals="1" fieldPosition="0">
        <references count="1">
          <reference field="4294967294" count="1" selected="0">
            <x v="1"/>
          </reference>
        </references>
      </pivotArea>
    </format>
    <format dxfId="185">
      <pivotArea outline="0" collapsedLevelsAreSubtotals="1" fieldPosition="0">
        <references count="1">
          <reference field="4294967294" count="1" selected="0">
            <x v="2"/>
          </reference>
        </references>
      </pivotArea>
    </format>
    <format dxfId="184">
      <pivotArea outline="0" collapsedLevelsAreSubtotals="1" fieldPosition="0">
        <references count="1">
          <reference field="4294967294" count="1" selected="0">
            <x v="3"/>
          </reference>
        </references>
      </pivotArea>
    </format>
    <format dxfId="183">
      <pivotArea outline="0" collapsedLevelsAreSubtotals="1" fieldPosition="0">
        <references count="1">
          <reference field="4294967294" count="1" selected="0">
            <x v="4"/>
          </reference>
        </references>
      </pivotArea>
    </format>
    <format dxfId="182">
      <pivotArea field="2" type="button" dataOnly="0" labelOnly="1" outline="0" axis="axisRow" fieldPosition="0"/>
    </format>
    <format dxfId="181">
      <pivotArea dataOnly="0" labelOnly="1" outline="0" fieldPosition="0">
        <references count="1">
          <reference field="4294967294" count="6">
            <x v="0"/>
            <x v="1"/>
            <x v="2"/>
            <x v="3"/>
            <x v="4"/>
            <x v="5"/>
          </reference>
        </references>
      </pivotArea>
    </format>
  </formats>
  <chartFormats count="3">
    <chartFormat chart="25" format="0" series="1">
      <pivotArea type="data" outline="0" fieldPosition="0">
        <references count="1">
          <reference field="4294967294" count="1" selected="0">
            <x v="5"/>
          </reference>
        </references>
      </pivotArea>
    </chartFormat>
    <chartFormat chart="30" format="8" series="1">
      <pivotArea type="data" outline="0" fieldPosition="0">
        <references count="1">
          <reference field="4294967294" count="1" selected="0">
            <x v="5"/>
          </reference>
        </references>
      </pivotArea>
    </chartFormat>
    <chartFormat chart="27" format="4" series="1">
      <pivotArea type="data" outline="0" fieldPosition="0">
        <references count="1">
          <reference field="4294967294" count="1" selected="0">
            <x v="5"/>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Funded Loans"/>
    <pivotHierarchy dragToRow="0" dragToCol="0" dragToPage="0" dragToData="1"/>
    <pivotHierarchy dragToRow="0" dragToCol="0" dragToPage="0" dragToData="1"/>
    <pivotHierarchy dragToRow="0" dragToCol="0" dragToPage="0" dragToData="1" caption="Avg Int Ra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epayment_efficiency_ratio"/>
    <pivotHierarchy dragToData="1"/>
    <pivotHierarchy dragToData="1"/>
    <pivotHierarchy dragToData="1" caption="Avg Annual Inc"/>
    <pivotHierarchy dragToData="1"/>
    <pivotHierarchy dragToData="1" caption="Avg Loan Amt"/>
    <pivotHierarchy dragToData="1"/>
    <pivotHierarchy dragToData="1"/>
    <pivotHierarchy dragToData="1" caption="Unemp Rate"/>
  </pivotHierarchies>
  <pivotTableStyleInfo name="PivotStyleLight16" showRowHeaders="1" showColHeaders="1" showRowStripes="0" showColStripes="0" showLastColumn="1"/>
  <filters count="1">
    <filter fld="2" type="count" id="11" iMeasureHier="58">
      <autoFilter ref="A1">
        <filterColumn colId="0">
          <top10 val="5" filterVal="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D7C198F-7D60-4D14-887A-452C6A7678A6}" name="PivotTable15" cacheId="175" applyNumberFormats="0" applyBorderFormats="0" applyFontFormats="0" applyPatternFormats="0" applyAlignmentFormats="0" applyWidthHeightFormats="1" dataCaption="Values" tag="84d4cbbe-3497-4404-9529-7a98b1810e1f" updatedVersion="8" minRefreshableVersion="3" subtotalHiddenItems="1" rowGrandTotals="0" colGrandTotals="0" itemPrintTitles="1" createdVersion="8" indent="0" multipleFieldFilters="0" chartFormat="31" rowHeaderCaption="">
  <location ref="B118:I167" firstHeaderRow="1" firstDataRow="2" firstDataCol="1" rowPageCount="1" colPageCount="1"/>
  <pivotFields count="4">
    <pivotField axis="axisCol" allDrilled="1" subtotalTop="0" showAll="0" sortType="ascending" defaultSubtotal="0" defaultAttributeDrillState="1">
      <items count="7">
        <item x="0"/>
        <item x="1"/>
        <item x="2"/>
        <item x="3"/>
        <item x="4"/>
        <item x="5"/>
        <item x="6"/>
      </items>
    </pivotField>
    <pivotField axis="axisPage" allDrilled="1" subtotalTop="0" showAll="0" dataSourceSort="1" defaultSubtotal="0" defaultAttributeDrillState="1">
      <items count="1">
        <item x="0"/>
      </items>
    </pivotField>
    <pivotField dataField="1" subtotalTop="0" showAll="0" defaultSubtotal="0"/>
    <pivotField axis="axisRow" allDrilled="1" subtotalTop="0" showAll="0" dataSourceSort="1" defaultSubtotal="0" defaultAttributeDrillState="1">
      <items count="4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s>
    </pivotField>
  </pivotFields>
  <rowFields count="1">
    <field x="3"/>
  </rowFields>
  <rowItems count="4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rowItems>
  <colFields count="1">
    <field x="0"/>
  </colFields>
  <colItems count="7">
    <i>
      <x/>
    </i>
    <i>
      <x v="1"/>
    </i>
    <i>
      <x v="2"/>
    </i>
    <i>
      <x v="3"/>
    </i>
    <i>
      <x v="4"/>
    </i>
    <i>
      <x v="5"/>
    </i>
    <i>
      <x v="6"/>
    </i>
  </colItems>
  <pageFields count="1">
    <pageField fld="1" hier="32" name="[bank_loan_data].[fraud_detection_flag].&amp;[Potential Fraud]" cap="Potential Fraud"/>
  </pageFields>
  <dataFields count="1">
    <dataField name=" " fld="2" subtotal="count" baseField="0" baseItem="0"/>
  </dataFields>
  <formats count="10">
    <format dxfId="13">
      <pivotArea grandRow="1" outline="0" collapsedLevelsAreSubtotals="1" fieldPosition="0"/>
    </format>
    <format dxfId="12">
      <pivotArea collapsedLevelsAreSubtotals="1" fieldPosition="0">
        <references count="2">
          <reference field="0" count="1" selected="0">
            <x v="0"/>
          </reference>
          <reference field="3" count="1">
            <x v="0"/>
          </reference>
        </references>
      </pivotArea>
    </format>
    <format dxfId="11">
      <pivotArea outline="0" collapsedLevelsAreSubtotals="1" fieldPosition="0">
        <references count="1">
          <reference field="0" count="6" selected="0">
            <x v="1"/>
            <x v="2"/>
            <x v="3"/>
            <x v="4"/>
            <x v="5"/>
            <x v="6"/>
          </reference>
        </references>
      </pivotArea>
    </format>
    <format dxfId="10">
      <pivotArea field="3" type="button" dataOnly="0" labelOnly="1" outline="0" axis="axisRow" fieldPosition="0"/>
    </format>
    <format dxfId="9">
      <pivotArea dataOnly="0" labelOnly="1" fieldPosition="0">
        <references count="1">
          <reference field="0" count="0"/>
        </references>
      </pivotArea>
    </format>
    <format dxfId="8">
      <pivotArea field="3" type="button" dataOnly="0" labelOnly="1" outline="0" axis="axisRow" fieldPosition="0"/>
    </format>
    <format dxfId="7">
      <pivotArea dataOnly="0" labelOnly="1" fieldPosition="0">
        <references count="1">
          <reference field="0" count="0"/>
        </references>
      </pivotArea>
    </format>
    <format dxfId="6">
      <pivotArea dataOnly="0" labelOnly="1" fieldPosition="0">
        <references count="1">
          <reference field="3" count="0"/>
        </references>
      </pivotArea>
    </format>
    <format dxfId="5">
      <pivotArea dataOnly="0" labelOnly="1" fieldPosition="0">
        <references count="1">
          <reference field="3" count="0"/>
        </references>
      </pivotArea>
    </format>
    <format dxfId="4">
      <pivotArea collapsedLevelsAreSubtotals="1" fieldPosition="0">
        <references count="2">
          <reference field="0" count="1" selected="0">
            <x v="0"/>
          </reference>
          <reference field="3" count="47">
            <x v="1"/>
            <x v="2"/>
            <x v="3"/>
            <x v="4"/>
            <x v="5"/>
            <x v="6"/>
            <x v="7"/>
            <x v="8"/>
            <x v="9"/>
            <x v="10"/>
            <x v="11"/>
            <x v="12"/>
            <x v="13"/>
            <x v="14"/>
            <x v="15"/>
            <x v="16"/>
            <x v="17"/>
            <x v="18"/>
            <x v="19"/>
            <x v="20"/>
            <x v="21"/>
            <x v="22"/>
            <x v="23"/>
            <x v="24"/>
            <x v="25"/>
            <x v="26"/>
            <x v="27"/>
            <x v="28"/>
            <x v="29"/>
            <x v="30"/>
            <x v="31"/>
            <x v="32"/>
            <x v="33"/>
            <x v="34"/>
            <x v="35"/>
            <x v="36"/>
            <x v="37"/>
            <x v="38"/>
            <x v="39"/>
            <x v="40"/>
            <x v="41"/>
            <x v="42"/>
            <x v="43"/>
            <x v="44"/>
            <x v="45"/>
            <x v="46"/>
            <x v="47"/>
          </reference>
        </references>
      </pivotArea>
    </format>
  </formats>
  <conditionalFormats count="1">
    <conditionalFormat priority="2">
      <pivotAreas count="1">
        <pivotArea type="data" outline="0" collapsedLevelsAreSubtotals="1" fieldPosition="0">
          <references count="1">
            <reference field="4294967294" count="1" selected="0">
              <x v="0"/>
            </reference>
          </references>
        </pivotArea>
      </pivotAreas>
    </conditionalFormat>
  </conditional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bank_loan_data].[fraud_detection_flag].&amp;[Potential Fraud]"/>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8C338A7-2576-45A6-84F5-2D44E61229B2}" name="PivotTable6" cacheId="151" dataOnRows="1" applyNumberFormats="0" applyBorderFormats="0" applyFontFormats="0" applyPatternFormats="0" applyAlignmentFormats="0" applyWidthHeightFormats="1" dataCaption="Values" tag="a3e5cef5-1683-4820-bdb4-c4e67c23e340" updatedVersion="8" minRefreshableVersion="3" subtotalHiddenItems="1" rowGrandTotals="0" colGrandTotals="0" itemPrintTitles="1" createdVersion="8" indent="0" multipleFieldFilters="0" chartFormat="16">
  <location ref="I40:L48" firstHeaderRow="1" firstDataRow="2" firstDataCol="1"/>
  <pivotFields count="4">
    <pivotField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defaultAttributeDrillState="1">
      <items count="7">
        <item x="6"/>
        <item x="5"/>
        <item x="4"/>
        <item x="3"/>
        <item x="2"/>
        <item x="1"/>
        <item x="0"/>
      </items>
    </pivotField>
    <pivotField axis="axisCol" allDrilled="1" subtotalTop="0" showAll="0" dataSourceSort="1" defaultSubtotal="0" defaultAttributeDrillState="1">
      <items count="3">
        <item x="0"/>
        <item x="1"/>
        <item x="2"/>
      </items>
    </pivotField>
  </pivotFields>
  <rowFields count="1">
    <field x="2"/>
  </rowFields>
  <rowItems count="7">
    <i>
      <x/>
    </i>
    <i>
      <x v="1"/>
    </i>
    <i>
      <x v="2"/>
    </i>
    <i>
      <x v="3"/>
    </i>
    <i>
      <x v="4"/>
    </i>
    <i>
      <x v="5"/>
    </i>
    <i>
      <x v="6"/>
    </i>
  </rowItems>
  <colFields count="1">
    <field x="3"/>
  </colFields>
  <colItems count="3">
    <i>
      <x/>
    </i>
    <i>
      <x v="1"/>
    </i>
    <i>
      <x v="2"/>
    </i>
  </colItems>
  <dataFields count="1">
    <dataField fld="1" subtotal="count" baseField="0" baseItem="0"/>
  </dataFields>
  <formats count="1">
    <format dxfId="14">
      <pivotArea grandRow="1" outline="0" collapsedLevelsAreSubtotals="1" fieldPosition="0"/>
    </format>
  </formats>
  <chartFormats count="10">
    <chartFormat chart="5" format="2"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 chart="12" format="0" series="1">
      <pivotArea type="data" outline="0" fieldPosition="0">
        <references count="2">
          <reference field="4294967294" count="1" selected="0">
            <x v="0"/>
          </reference>
          <reference field="3" count="1" selected="0">
            <x v="0"/>
          </reference>
        </references>
      </pivotArea>
    </chartFormat>
    <chartFormat chart="12" format="1" series="1">
      <pivotArea type="data" outline="0" fieldPosition="0">
        <references count="2">
          <reference field="4294967294" count="1" selected="0">
            <x v="0"/>
          </reference>
          <reference field="3" count="1" selected="0">
            <x v="1"/>
          </reference>
        </references>
      </pivotArea>
    </chartFormat>
    <chartFormat chart="12" format="2" series="1">
      <pivotArea type="data" outline="0" fieldPosition="0">
        <references count="2">
          <reference field="4294967294" count="1" selected="0">
            <x v="0"/>
          </reference>
          <reference field="3" count="1" selected="0">
            <x v="2"/>
          </reference>
        </references>
      </pivotArea>
    </chartFormat>
    <chartFormat chart="15" format="6" series="1">
      <pivotArea type="data" outline="0" fieldPosition="0">
        <references count="2">
          <reference field="4294967294" count="1" selected="0">
            <x v="0"/>
          </reference>
          <reference field="3" count="1" selected="0">
            <x v="0"/>
          </reference>
        </references>
      </pivotArea>
    </chartFormat>
    <chartFormat chart="15" format="7" series="1">
      <pivotArea type="data" outline="0" fieldPosition="0">
        <references count="2">
          <reference field="4294967294" count="1" selected="0">
            <x v="0"/>
          </reference>
          <reference field="3" count="1" selected="0">
            <x v="1"/>
          </reference>
        </references>
      </pivotArea>
    </chartFormat>
    <chartFormat chart="15" format="8" series="1">
      <pivotArea type="data" outline="0" fieldPosition="0">
        <references count="2">
          <reference field="4294967294" count="1" selected="0">
            <x v="0"/>
          </reference>
          <reference field="3" count="1" selected="0">
            <x v="2"/>
          </reference>
        </references>
      </pivotArea>
    </chartFormat>
    <chartFormat chart="15" format="9"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9F4D884-0C6C-4CFE-ADC1-57356C95EF44}" name="PivotTable2" cacheId="142" applyNumberFormats="0" applyBorderFormats="0" applyFontFormats="0" applyPatternFormats="0" applyAlignmentFormats="0" applyWidthHeightFormats="1" dataCaption="Values" tag="f23f876a-04f0-42b2-92c3-3cc95cb6065c" updatedVersion="8" minRefreshableVersion="3" useAutoFormatting="1" subtotalHiddenItems="1" itemPrintTitles="1" createdVersion="8" indent="0" multipleFieldFilters="0" chartFormat="12">
  <location ref="G8:H14" firstHeaderRow="1" firstDataRow="1" firstDataCol="1"/>
  <pivotFields count="3">
    <pivotField axis="axisRow" allDrilled="1" showAll="0" dataSourceSort="1" defaultAttributeDrillState="1">
      <items count="6">
        <item x="0"/>
        <item x="1"/>
        <item x="2"/>
        <item x="3"/>
        <item x="4"/>
        <item t="default"/>
      </items>
    </pivotField>
    <pivotField dataField="1" showAll="0"/>
    <pivotField allDrilled="1" showAll="0" dataSourceSort="1" defaultAttributeDrillState="1"/>
  </pivotFields>
  <rowFields count="1">
    <field x="0"/>
  </rowFields>
  <rowItems count="6">
    <i>
      <x/>
    </i>
    <i>
      <x v="1"/>
    </i>
    <i>
      <x v="2"/>
    </i>
    <i>
      <x v="3"/>
    </i>
    <i>
      <x v="4"/>
    </i>
    <i t="grand">
      <x/>
    </i>
  </rowItems>
  <colItems count="1">
    <i/>
  </colItems>
  <dataFields count="1">
    <dataField fld="1" subtotal="count" baseField="0" baseItem="0" numFmtId="165"/>
  </dataFields>
  <chartFormats count="12">
    <chartFormat chart="6" format="0" series="1">
      <pivotArea type="data" outline="0" fieldPosition="0">
        <references count="1">
          <reference field="4294967294" count="1" selected="0">
            <x v="0"/>
          </reference>
        </references>
      </pivotArea>
    </chartFormat>
    <chartFormat chart="6" format="1">
      <pivotArea type="data" outline="0" fieldPosition="0">
        <references count="2">
          <reference field="4294967294" count="1" selected="0">
            <x v="0"/>
          </reference>
          <reference field="0" count="1" selected="0">
            <x v="0"/>
          </reference>
        </references>
      </pivotArea>
    </chartFormat>
    <chartFormat chart="6" format="2">
      <pivotArea type="data" outline="0" fieldPosition="0">
        <references count="2">
          <reference field="4294967294" count="1" selected="0">
            <x v="0"/>
          </reference>
          <reference field="0" count="1" selected="0">
            <x v="3"/>
          </reference>
        </references>
      </pivotArea>
    </chartFormat>
    <chartFormat chart="6" format="3">
      <pivotArea type="data" outline="0" fieldPosition="0">
        <references count="2">
          <reference field="4294967294" count="1" selected="0">
            <x v="0"/>
          </reference>
          <reference field="0" count="1" selected="0">
            <x v="4"/>
          </reference>
        </references>
      </pivotArea>
    </chartFormat>
    <chartFormat chart="6" format="4">
      <pivotArea type="data" outline="0" fieldPosition="0">
        <references count="2">
          <reference field="4294967294" count="1" selected="0">
            <x v="0"/>
          </reference>
          <reference field="0" count="1" selected="0">
            <x v="2"/>
          </reference>
        </references>
      </pivotArea>
    </chartFormat>
    <chartFormat chart="6" format="5">
      <pivotArea type="data" outline="0" fieldPosition="0">
        <references count="2">
          <reference field="4294967294" count="1" selected="0">
            <x v="0"/>
          </reference>
          <reference field="0" count="1" selected="0">
            <x v="1"/>
          </reference>
        </references>
      </pivotArea>
    </chartFormat>
    <chartFormat chart="11" format="12" series="1">
      <pivotArea type="data" outline="0" fieldPosition="0">
        <references count="1">
          <reference field="4294967294" count="1" selected="0">
            <x v="0"/>
          </reference>
        </references>
      </pivotArea>
    </chartFormat>
    <chartFormat chart="11" format="13">
      <pivotArea type="data" outline="0" fieldPosition="0">
        <references count="2">
          <reference field="4294967294" count="1" selected="0">
            <x v="0"/>
          </reference>
          <reference field="0" count="1" selected="0">
            <x v="0"/>
          </reference>
        </references>
      </pivotArea>
    </chartFormat>
    <chartFormat chart="11" format="14">
      <pivotArea type="data" outline="0" fieldPosition="0">
        <references count="2">
          <reference field="4294967294" count="1" selected="0">
            <x v="0"/>
          </reference>
          <reference field="0" count="1" selected="0">
            <x v="1"/>
          </reference>
        </references>
      </pivotArea>
    </chartFormat>
    <chartFormat chart="11" format="15">
      <pivotArea type="data" outline="0" fieldPosition="0">
        <references count="2">
          <reference field="4294967294" count="1" selected="0">
            <x v="0"/>
          </reference>
          <reference field="0" count="1" selected="0">
            <x v="2"/>
          </reference>
        </references>
      </pivotArea>
    </chartFormat>
    <chartFormat chart="11" format="16">
      <pivotArea type="data" outline="0" fieldPosition="0">
        <references count="2">
          <reference field="4294967294" count="1" selected="0">
            <x v="0"/>
          </reference>
          <reference field="0" count="1" selected="0">
            <x v="3"/>
          </reference>
        </references>
      </pivotArea>
    </chartFormat>
    <chartFormat chart="11" format="17">
      <pivotArea type="data" outline="0" fieldPosition="0">
        <references count="2">
          <reference field="4294967294" count="1" selected="0">
            <x v="0"/>
          </reference>
          <reference field="0" count="1" selected="0">
            <x v="4"/>
          </reference>
        </references>
      </pivotArea>
    </chartFormat>
  </chartFormats>
  <pivotHierarchies count="93">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F0F643F-6670-4D9C-B77B-14E145961FE6}" name="PivotTable16" cacheId="178" applyNumberFormats="0" applyBorderFormats="0" applyFontFormats="0" applyPatternFormats="0" applyAlignmentFormats="0" applyWidthHeightFormats="1" dataCaption="Values" tag="f38a37fd-9d2b-424e-8768-e1faf9f0116c" updatedVersion="8" minRefreshableVersion="3" subtotalHiddenItems="1" rowGrandTotals="0" colGrandTotals="0" itemPrintTitles="1" createdVersion="8" indent="0" multipleFieldFilters="0" chartFormat="25" rowHeaderCaption="">
  <location ref="K116:N117" firstHeaderRow="0" firstDataRow="1" firstDataCol="0"/>
  <pivotFields count="6">
    <pivotField allDrilled="1" subtotalTop="0" showAll="0" sortType="ascending" defaultSubtotal="0" defaultAttributeDrillState="1">
      <items count="7">
        <item x="0"/>
        <item x="1"/>
        <item x="2"/>
        <item x="3"/>
        <item x="4"/>
        <item x="5"/>
        <item x="6"/>
      </items>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1" subtotal="count" baseField="0" baseItem="1" numFmtId="1"/>
    <dataField fld="2" subtotal="count" baseField="0" baseItem="1" numFmtId="1"/>
    <dataField fld="3" subtotal="count" baseField="0" baseItem="1" numFmtId="10"/>
    <dataField name="Average Repayment Efficiency" fld="4" subtotal="average" baseField="0" baseItem="1" numFmtId="10"/>
  </dataFields>
  <formats count="5">
    <format dxfId="19">
      <pivotArea grandRow="1" outline="0" collapsedLevelsAreSubtotals="1" fieldPosition="0"/>
    </format>
    <format dxfId="18">
      <pivotArea outline="0" fieldPosition="0">
        <references count="1">
          <reference field="4294967294" count="1">
            <x v="0"/>
          </reference>
        </references>
      </pivotArea>
    </format>
    <format dxfId="17">
      <pivotArea outline="0" fieldPosition="0">
        <references count="1">
          <reference field="4294967294" count="1">
            <x v="1"/>
          </reference>
        </references>
      </pivotArea>
    </format>
    <format dxfId="16">
      <pivotArea outline="0" fieldPosition="0">
        <references count="1">
          <reference field="4294967294" count="1">
            <x v="2"/>
          </reference>
        </references>
      </pivotArea>
    </format>
    <format dxfId="15">
      <pivotArea outline="0" fieldPosition="0">
        <references count="1">
          <reference field="4294967294" count="1">
            <x v="3"/>
          </reference>
        </references>
      </pivotArea>
    </format>
  </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Repayment Efficiency"/>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07751BB-4F58-459E-A54F-05C7DCBE837E}" name="PivotTable4" cacheId="136" applyNumberFormats="0" applyBorderFormats="0" applyFontFormats="0" applyPatternFormats="0" applyAlignmentFormats="0" applyWidthHeightFormats="1" dataCaption="Values" tag="4e384f8a-73e3-42cd-8722-b432cd55dda4" updatedVersion="8" minRefreshableVersion="3" subtotalHiddenItems="1" itemPrintTitles="1" createdVersion="8" indent="0" multipleFieldFilters="0" chartFormat="9">
  <location ref="C22:F35" firstHeaderRow="0" firstDataRow="1" firstDataCol="1"/>
  <pivotFields count="5">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allDrilled="1" showAll="0" dataSourceSort="1" defaultAttributeDrillState="1"/>
  </pivotFields>
  <rowFields count="1">
    <field x="0"/>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Total Received Amount" fld="1" subtotal="count" baseField="0" baseItem="3" numFmtId="168"/>
    <dataField name="Total Funded Amount" fld="2" subtotal="count" baseField="0" baseItem="3" numFmtId="168"/>
    <dataField fld="3" subtotal="count" baseField="0" baseItem="3" numFmtId="168"/>
  </dataFields>
  <formats count="6">
    <format dxfId="25">
      <pivotArea collapsedLevelsAreSubtotals="1" fieldPosition="0">
        <references count="1">
          <reference field="0" count="1">
            <x v="0"/>
          </reference>
        </references>
      </pivotArea>
    </format>
    <format dxfId="24">
      <pivotArea collapsedLevelsAreSubtotals="1" fieldPosition="0">
        <references count="2">
          <reference field="4294967294" count="1" selected="0">
            <x v="0"/>
          </reference>
          <reference field="0" count="1">
            <x v="0"/>
          </reference>
        </references>
      </pivotArea>
    </format>
    <format dxfId="23">
      <pivotArea collapsedLevelsAreSubtotals="1" fieldPosition="0">
        <references count="1">
          <reference field="0" count="11">
            <x v="1"/>
            <x v="2"/>
            <x v="3"/>
            <x v="4"/>
            <x v="5"/>
            <x v="6"/>
            <x v="7"/>
            <x v="8"/>
            <x v="9"/>
            <x v="10"/>
            <x v="11"/>
          </reference>
        </references>
      </pivotArea>
    </format>
    <format dxfId="22">
      <pivotArea outline="0" fieldPosition="0">
        <references count="1">
          <reference field="4294967294" count="1">
            <x v="0"/>
          </reference>
        </references>
      </pivotArea>
    </format>
    <format dxfId="21">
      <pivotArea outline="0" fieldPosition="0">
        <references count="1">
          <reference field="4294967294" count="1">
            <x v="1"/>
          </reference>
        </references>
      </pivotArea>
    </format>
    <format dxfId="20">
      <pivotArea outline="0" fieldPosition="0">
        <references count="1">
          <reference field="4294967294" count="1">
            <x v="2"/>
          </reference>
        </references>
      </pivotArea>
    </format>
  </formats>
  <chartFormats count="19">
    <chartFormat chart="3" format="3"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1"/>
          </reference>
        </references>
      </pivotArea>
    </chartFormat>
    <chartFormat chart="3" format="5" series="1">
      <pivotArea type="data" outline="0" fieldPosition="0">
        <references count="1">
          <reference field="4294967294" count="1" selected="0">
            <x v="2"/>
          </reference>
        </references>
      </pivotArea>
    </chartFormat>
    <chartFormat chart="8" format="9" series="1">
      <pivotArea type="data" outline="0" fieldPosition="0">
        <references count="1">
          <reference field="4294967294" count="1" selected="0">
            <x v="0"/>
          </reference>
        </references>
      </pivotArea>
    </chartFormat>
    <chartFormat chart="8" format="10" series="1">
      <pivotArea type="data" outline="0" fieldPosition="0">
        <references count="1">
          <reference field="4294967294" count="1" selected="0">
            <x v="1"/>
          </reference>
        </references>
      </pivotArea>
    </chartFormat>
    <chartFormat chart="8" format="11" series="1">
      <pivotArea type="data" outline="0" fieldPosition="0">
        <references count="1">
          <reference field="4294967294" count="1" selected="0">
            <x v="2"/>
          </reference>
        </references>
      </pivotArea>
    </chartFormat>
    <chartFormat chart="8" format="12">
      <pivotArea type="data" outline="0" fieldPosition="0">
        <references count="2">
          <reference field="4294967294" count="1" selected="0">
            <x v="0"/>
          </reference>
          <reference field="0" count="1" selected="0">
            <x v="9"/>
          </reference>
        </references>
      </pivotArea>
    </chartFormat>
    <chartFormat chart="8" format="13">
      <pivotArea type="data" outline="0" fieldPosition="0">
        <references count="2">
          <reference field="4294967294" count="1" selected="0">
            <x v="2"/>
          </reference>
          <reference field="0" count="1" selected="0">
            <x v="11"/>
          </reference>
        </references>
      </pivotArea>
    </chartFormat>
    <chartFormat chart="8" format="14">
      <pivotArea type="data" outline="0" fieldPosition="0">
        <references count="2">
          <reference field="4294967294" count="1" selected="0">
            <x v="0"/>
          </reference>
          <reference field="0" count="1" selected="0">
            <x v="11"/>
          </reference>
        </references>
      </pivotArea>
    </chartFormat>
    <chartFormat chart="8" format="15">
      <pivotArea type="data" outline="0" fieldPosition="0">
        <references count="2">
          <reference field="4294967294" count="1" selected="0">
            <x v="0"/>
          </reference>
          <reference field="0" count="1" selected="0">
            <x v="10"/>
          </reference>
        </references>
      </pivotArea>
    </chartFormat>
    <chartFormat chart="8" format="16">
      <pivotArea type="data" outline="0" fieldPosition="0">
        <references count="2">
          <reference field="4294967294" count="1" selected="0">
            <x v="0"/>
          </reference>
          <reference field="0" count="1" selected="0">
            <x v="8"/>
          </reference>
        </references>
      </pivotArea>
    </chartFormat>
    <chartFormat chart="8" format="17">
      <pivotArea type="data" outline="0" fieldPosition="0">
        <references count="2">
          <reference field="4294967294" count="1" selected="0">
            <x v="0"/>
          </reference>
          <reference field="0" count="1" selected="0">
            <x v="7"/>
          </reference>
        </references>
      </pivotArea>
    </chartFormat>
    <chartFormat chart="8" format="18">
      <pivotArea type="data" outline="0" fieldPosition="0">
        <references count="2">
          <reference field="4294967294" count="1" selected="0">
            <x v="0"/>
          </reference>
          <reference field="0" count="1" selected="0">
            <x v="6"/>
          </reference>
        </references>
      </pivotArea>
    </chartFormat>
    <chartFormat chart="8" format="19">
      <pivotArea type="data" outline="0" fieldPosition="0">
        <references count="2">
          <reference field="4294967294" count="1" selected="0">
            <x v="0"/>
          </reference>
          <reference field="0" count="1" selected="0">
            <x v="5"/>
          </reference>
        </references>
      </pivotArea>
    </chartFormat>
    <chartFormat chart="8" format="20">
      <pivotArea type="data" outline="0" fieldPosition="0">
        <references count="2">
          <reference field="4294967294" count="1" selected="0">
            <x v="0"/>
          </reference>
          <reference field="0" count="1" selected="0">
            <x v="4"/>
          </reference>
        </references>
      </pivotArea>
    </chartFormat>
    <chartFormat chart="8" format="21">
      <pivotArea type="data" outline="0" fieldPosition="0">
        <references count="2">
          <reference field="4294967294" count="1" selected="0">
            <x v="0"/>
          </reference>
          <reference field="0" count="1" selected="0">
            <x v="3"/>
          </reference>
        </references>
      </pivotArea>
    </chartFormat>
    <chartFormat chart="8" format="22">
      <pivotArea type="data" outline="0" fieldPosition="0">
        <references count="2">
          <reference field="4294967294" count="1" selected="0">
            <x v="0"/>
          </reference>
          <reference field="0" count="1" selected="0">
            <x v="2"/>
          </reference>
        </references>
      </pivotArea>
    </chartFormat>
    <chartFormat chart="8" format="23">
      <pivotArea type="data" outline="0" fieldPosition="0">
        <references count="2">
          <reference field="4294967294" count="1" selected="0">
            <x v="0"/>
          </reference>
          <reference field="0" count="1" selected="0">
            <x v="1"/>
          </reference>
        </references>
      </pivotArea>
    </chartFormat>
    <chartFormat chart="8" format="24">
      <pivotArea type="data" outline="0" fieldPosition="0">
        <references count="2">
          <reference field="4294967294" count="1" selected="0">
            <x v="0"/>
          </reference>
          <reference field="0" count="1" selected="0">
            <x v="0"/>
          </reference>
        </references>
      </pivotArea>
    </chartFormat>
  </chartFormats>
  <pivotHierarchies count="93">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Total Received Amount"/>
    <pivotHierarchy dragToRow="0" dragToCol="0" dragToPage="0" dragToData="1"/>
    <pivotHierarchy dragToRow="0" dragToCol="0" dragToPage="0" dragToData="1" caption="Total Funded Am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FE6CA49-6B34-4617-8955-7656CE872289}" name="PivotTable22" cacheId="286" applyNumberFormats="0" applyBorderFormats="0" applyFontFormats="0" applyPatternFormats="0" applyAlignmentFormats="0" applyWidthHeightFormats="1" dataCaption="Values" tag="d07d5049-2463-4ea5-8539-ea184d5275a8" updatedVersion="8" minRefreshableVersion="5" subtotalHiddenItems="1" rowGrandTotals="0" colGrandTotals="0" itemPrintTitles="1" createdVersion="8" indent="0" multipleFieldFilters="0" chartFormat="31" rowHeaderCaption="States">
  <location ref="J247:P252" firstHeaderRow="0" firstDataRow="1" firstDataCol="1"/>
  <pivotFields count="8">
    <pivotField allDrilled="1" subtotalTop="0" showAll="0" sortType="ascending" defaultSubtotal="0" defaultAttributeDrillState="1">
      <items count="7">
        <item x="0"/>
        <item x="1"/>
        <item x="2"/>
        <item x="3"/>
        <item x="4"/>
        <item x="5"/>
        <item x="6"/>
      </items>
    </pivotField>
    <pivotField dataField="1" subtotalTop="0" showAll="0" defaultSubtotal="0"/>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4"/>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5">
    <i>
      <x v="4"/>
    </i>
    <i>
      <x/>
    </i>
    <i>
      <x v="1"/>
    </i>
    <i>
      <x v="3"/>
    </i>
    <i>
      <x v="2"/>
    </i>
  </rowItems>
  <colFields count="1">
    <field x="-2"/>
  </colFields>
  <colItems count="6">
    <i>
      <x/>
    </i>
    <i i="1">
      <x v="1"/>
    </i>
    <i i="2">
      <x v="2"/>
    </i>
    <i i="3">
      <x v="3"/>
    </i>
    <i i="4">
      <x v="4"/>
    </i>
    <i i="5">
      <x v="5"/>
    </i>
  </colItems>
  <dataFields count="6">
    <dataField name="Unemp Rate" fld="6" subtotal="average" baseField="2" baseItem="4" numFmtId="171"/>
    <dataField name="Avg Annual Inc" fld="3" subtotal="average" baseField="2" baseItem="4" numFmtId="170"/>
    <dataField name="Avg Loan Amt" fld="4" subtotal="average" baseField="2" baseItem="1" numFmtId="170"/>
    <dataField name="Avg Int Rate" fld="5" subtotal="count" baseField="2" baseItem="4" numFmtId="172"/>
    <dataField fld="7" subtotal="count" baseField="0" baseItem="0"/>
    <dataField name="Funded Loans" fld="1" subtotal="count" baseField="2" baseItem="1" numFmtId="1"/>
  </dataFields>
  <formats count="22">
    <format dxfId="47">
      <pivotArea grandRow="1" outline="0" collapsedLevelsAreSubtotals="1" fieldPosition="0"/>
    </format>
    <format dxfId="46">
      <pivotArea outline="0" fieldPosition="0">
        <references count="1">
          <reference field="4294967294" count="1">
            <x v="5"/>
          </reference>
        </references>
      </pivotArea>
    </format>
    <format dxfId="45">
      <pivotArea outline="0" fieldPosition="0">
        <references count="1">
          <reference field="4294967294" count="1">
            <x v="1"/>
          </reference>
        </references>
      </pivotArea>
    </format>
    <format dxfId="44">
      <pivotArea outline="0" fieldPosition="0">
        <references count="1">
          <reference field="4294967294" count="1">
            <x v="2"/>
          </reference>
        </references>
      </pivotArea>
    </format>
    <format dxfId="43">
      <pivotArea outline="0" fieldPosition="0">
        <references count="1">
          <reference field="4294967294" count="1">
            <x v="3"/>
          </reference>
        </references>
      </pivotArea>
    </format>
    <format dxfId="42">
      <pivotArea outline="0" fieldPosition="0">
        <references count="1">
          <reference field="4294967294" count="1">
            <x v="0"/>
          </reference>
        </references>
      </pivotArea>
    </format>
    <format dxfId="41">
      <pivotArea outline="0" collapsedLevelsAreSubtotals="1" fieldPosition="0"/>
    </format>
    <format dxfId="40">
      <pivotArea dataOnly="0" labelOnly="1" outline="0" fieldPosition="0">
        <references count="1">
          <reference field="4294967294" count="6">
            <x v="0"/>
            <x v="1"/>
            <x v="2"/>
            <x v="3"/>
            <x v="4"/>
            <x v="5"/>
          </reference>
        </references>
      </pivotArea>
    </format>
    <format dxfId="39">
      <pivotArea outline="0" collapsedLevelsAreSubtotals="1" fieldPosition="0"/>
    </format>
    <format dxfId="38">
      <pivotArea dataOnly="0" labelOnly="1" outline="0" fieldPosition="0">
        <references count="1">
          <reference field="4294967294" count="6">
            <x v="0"/>
            <x v="1"/>
            <x v="2"/>
            <x v="3"/>
            <x v="4"/>
            <x v="5"/>
          </reference>
        </references>
      </pivotArea>
    </format>
    <format dxfId="37">
      <pivotArea field="2" type="button" dataOnly="0" labelOnly="1" outline="0" axis="axisRow" fieldPosition="0"/>
    </format>
    <format dxfId="36">
      <pivotArea field="2" type="button" dataOnly="0" labelOnly="1" outline="0" axis="axisRow" fieldPosition="0"/>
    </format>
    <format dxfId="35">
      <pivotArea dataOnly="0" labelOnly="1" fieldPosition="0">
        <references count="1">
          <reference field="2" count="0"/>
        </references>
      </pivotArea>
    </format>
    <format dxfId="34">
      <pivotArea dataOnly="0" labelOnly="1" fieldPosition="0">
        <references count="1">
          <reference field="2" count="0"/>
        </references>
      </pivotArea>
    </format>
    <format dxfId="33">
      <pivotArea field="2" type="button" dataOnly="0" labelOnly="1" outline="0" axis="axisRow" fieldPosition="0"/>
    </format>
    <format dxfId="32">
      <pivotArea dataOnly="0" labelOnly="1" outline="0" fieldPosition="0">
        <references count="1">
          <reference field="4294967294" count="6">
            <x v="0"/>
            <x v="1"/>
            <x v="2"/>
            <x v="3"/>
            <x v="4"/>
            <x v="5"/>
          </reference>
        </references>
      </pivotArea>
    </format>
    <format dxfId="31">
      <pivotArea outline="0" collapsedLevelsAreSubtotals="1" fieldPosition="0">
        <references count="1">
          <reference field="4294967294" count="1" selected="0">
            <x v="0"/>
          </reference>
        </references>
      </pivotArea>
    </format>
    <format dxfId="30">
      <pivotArea outline="0" collapsedLevelsAreSubtotals="1" fieldPosition="0">
        <references count="1">
          <reference field="4294967294" count="1" selected="0">
            <x v="1"/>
          </reference>
        </references>
      </pivotArea>
    </format>
    <format dxfId="29">
      <pivotArea outline="0" collapsedLevelsAreSubtotals="1" fieldPosition="0">
        <references count="1">
          <reference field="4294967294" count="1" selected="0">
            <x v="2"/>
          </reference>
        </references>
      </pivotArea>
    </format>
    <format dxfId="28">
      <pivotArea outline="0" collapsedLevelsAreSubtotals="1" fieldPosition="0">
        <references count="1">
          <reference field="4294967294" count="1" selected="0">
            <x v="3"/>
          </reference>
        </references>
      </pivotArea>
    </format>
    <format dxfId="27">
      <pivotArea outline="0" collapsedLevelsAreSubtotals="1" fieldPosition="0">
        <references count="1">
          <reference field="4294967294" count="1" selected="0">
            <x v="5"/>
          </reference>
        </references>
      </pivotArea>
    </format>
    <format dxfId="26">
      <pivotArea outline="0" collapsedLevelsAreSubtotals="1" fieldPosition="0">
        <references count="1">
          <reference field="4294967294" count="1" selected="0">
            <x v="4"/>
          </reference>
        </references>
      </pivotArea>
    </format>
  </formats>
  <chartFormats count="3">
    <chartFormat chart="25" format="0" series="1">
      <pivotArea type="data" outline="0" fieldPosition="0">
        <references count="1">
          <reference field="4294967294" count="1" selected="0">
            <x v="5"/>
          </reference>
        </references>
      </pivotArea>
    </chartFormat>
    <chartFormat chart="30" format="8" series="1">
      <pivotArea type="data" outline="0" fieldPosition="0">
        <references count="1">
          <reference field="4294967294" count="1" selected="0">
            <x v="5"/>
          </reference>
        </references>
      </pivotArea>
    </chartFormat>
    <chartFormat chart="27" format="4" series="1">
      <pivotArea type="data" outline="0" fieldPosition="0">
        <references count="1">
          <reference field="4294967294" count="1" selected="0">
            <x v="5"/>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Funded Loans"/>
    <pivotHierarchy dragToRow="0" dragToCol="0" dragToPage="0" dragToData="1"/>
    <pivotHierarchy dragToRow="0" dragToCol="0" dragToPage="0" dragToData="1"/>
    <pivotHierarchy dragToRow="0" dragToCol="0" dragToPage="0" dragToData="1" caption="Avg Int Ra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epayment_efficiency_ratio"/>
    <pivotHierarchy dragToData="1"/>
    <pivotHierarchy dragToData="1"/>
    <pivotHierarchy dragToData="1" caption="Avg Annual Inc"/>
    <pivotHierarchy dragToData="1"/>
    <pivotHierarchy dragToData="1" caption="Avg Loan Amt"/>
    <pivotHierarchy dragToData="1"/>
    <pivotHierarchy dragToData="1"/>
    <pivotHierarchy dragToData="1" caption="Unemp Rate"/>
  </pivotHierarchies>
  <pivotTableStyleInfo name="PivotStyleLight16" showRowHeaders="1" showColHeaders="1" showRowStripes="0" showColStripes="0" showLastColumn="1"/>
  <filters count="1">
    <filter fld="2" type="count" id="10" iMeasureHier="58">
      <autoFilter ref="A1">
        <filterColumn colId="0">
          <top10 top="0" val="5" filterVal="5"/>
        </filterColumn>
      </autoFilter>
    </filter>
  </filters>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B0B1CC3-AB63-4F4F-8EF9-A9CCC425A721}" name="PivotTable21" cacheId="187" applyNumberFormats="0" applyBorderFormats="0" applyFontFormats="0" applyPatternFormats="0" applyAlignmentFormats="0" applyWidthHeightFormats="1" dataCaption="Values" tag="bf307389-af32-4978-a267-43025f734f33" updatedVersion="8" minRefreshableVersion="3" subtotalHiddenItems="1" rowGrandTotals="0" colGrandTotals="0" itemPrintTitles="1" createdVersion="8" indent="0" multipleFieldFilters="0" chartFormat="35" rowHeaderCaption="">
  <location ref="J228:L241" firstHeaderRow="1" firstDataRow="2" firstDataCol="1"/>
  <pivotFields count="5">
    <pivotField allDrilled="1" subtotalTop="0" showAll="0" sortType="ascending" defaultSubtotal="0" defaultAttributeDrillState="1">
      <items count="7">
        <item x="0"/>
        <item x="1"/>
        <item x="2"/>
        <item x="3"/>
        <item x="4"/>
        <item x="5"/>
        <item x="6"/>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2"/>
  </rowFields>
  <rowItems count="12">
    <i>
      <x/>
    </i>
    <i>
      <x v="1"/>
    </i>
    <i>
      <x v="2"/>
    </i>
    <i>
      <x v="3"/>
    </i>
    <i>
      <x v="4"/>
    </i>
    <i>
      <x v="5"/>
    </i>
    <i>
      <x v="6"/>
    </i>
    <i>
      <x v="7"/>
    </i>
    <i>
      <x v="8"/>
    </i>
    <i>
      <x v="9"/>
    </i>
    <i>
      <x v="10"/>
    </i>
    <i>
      <x v="11"/>
    </i>
  </rowItems>
  <colFields count="1">
    <field x="3"/>
  </colFields>
  <colItems count="2">
    <i>
      <x/>
    </i>
    <i>
      <x v="1"/>
    </i>
  </colItems>
  <dataFields count="1">
    <dataField fld="1" subtotal="count" baseField="2" baseItem="0" numFmtId="166"/>
  </dataFields>
  <formats count="2">
    <format dxfId="49">
      <pivotArea grandRow="1" outline="0" collapsedLevelsAreSubtotals="1" fieldPosition="0"/>
    </format>
    <format dxfId="48">
      <pivotArea outline="0" fieldPosition="0">
        <references count="1">
          <reference field="4294967294" count="1">
            <x v="0"/>
          </reference>
        </references>
      </pivotArea>
    </format>
  </formats>
  <chartFormats count="14">
    <chartFormat chart="31" format="0" series="1">
      <pivotArea type="data" outline="0" fieldPosition="0">
        <references count="2">
          <reference field="4294967294" count="1" selected="0">
            <x v="0"/>
          </reference>
          <reference field="3" count="1" selected="0">
            <x v="0"/>
          </reference>
        </references>
      </pivotArea>
    </chartFormat>
    <chartFormat chart="31" format="1" series="1">
      <pivotArea type="data" outline="0" fieldPosition="0">
        <references count="2">
          <reference field="4294967294" count="1" selected="0">
            <x v="0"/>
          </reference>
          <reference field="3" count="1" selected="0">
            <x v="1"/>
          </reference>
        </references>
      </pivotArea>
    </chartFormat>
    <chartFormat chart="31" format="2">
      <pivotArea type="data" outline="0" fieldPosition="0">
        <references count="3">
          <reference field="4294967294" count="1" selected="0">
            <x v="0"/>
          </reference>
          <reference field="2" count="1" selected="0">
            <x v="11"/>
          </reference>
          <reference field="3" count="1" selected="0">
            <x v="1"/>
          </reference>
        </references>
      </pivotArea>
    </chartFormat>
    <chartFormat chart="31" format="3">
      <pivotArea type="data" outline="0" fieldPosition="0">
        <references count="3">
          <reference field="4294967294" count="1" selected="0">
            <x v="0"/>
          </reference>
          <reference field="2" count="1" selected="0">
            <x v="10"/>
          </reference>
          <reference field="3" count="1" selected="0">
            <x v="1"/>
          </reference>
        </references>
      </pivotArea>
    </chartFormat>
    <chartFormat chart="31" format="4">
      <pivotArea type="data" outline="0" fieldPosition="0">
        <references count="3">
          <reference field="4294967294" count="1" selected="0">
            <x v="0"/>
          </reference>
          <reference field="2" count="1" selected="0">
            <x v="9"/>
          </reference>
          <reference field="3" count="1" selected="0">
            <x v="1"/>
          </reference>
        </references>
      </pivotArea>
    </chartFormat>
    <chartFormat chart="31" format="5">
      <pivotArea type="data" outline="0" fieldPosition="0">
        <references count="3">
          <reference field="4294967294" count="1" selected="0">
            <x v="0"/>
          </reference>
          <reference field="2" count="1" selected="0">
            <x v="8"/>
          </reference>
          <reference field="3" count="1" selected="0">
            <x v="1"/>
          </reference>
        </references>
      </pivotArea>
    </chartFormat>
    <chartFormat chart="34" format="12" series="1">
      <pivotArea type="data" outline="0" fieldPosition="0">
        <references count="2">
          <reference field="4294967294" count="1" selected="0">
            <x v="0"/>
          </reference>
          <reference field="3" count="1" selected="0">
            <x v="0"/>
          </reference>
        </references>
      </pivotArea>
    </chartFormat>
    <chartFormat chart="34" format="13" series="1">
      <pivotArea type="data" outline="0" fieldPosition="0">
        <references count="2">
          <reference field="4294967294" count="1" selected="0">
            <x v="0"/>
          </reference>
          <reference field="3" count="1" selected="0">
            <x v="1"/>
          </reference>
        </references>
      </pivotArea>
    </chartFormat>
    <chartFormat chart="34" format="14">
      <pivotArea type="data" outline="0" fieldPosition="0">
        <references count="3">
          <reference field="4294967294" count="1" selected="0">
            <x v="0"/>
          </reference>
          <reference field="2" count="1" selected="0">
            <x v="8"/>
          </reference>
          <reference field="3" count="1" selected="0">
            <x v="1"/>
          </reference>
        </references>
      </pivotArea>
    </chartFormat>
    <chartFormat chart="34" format="15">
      <pivotArea type="data" outline="0" fieldPosition="0">
        <references count="3">
          <reference field="4294967294" count="1" selected="0">
            <x v="0"/>
          </reference>
          <reference field="2" count="1" selected="0">
            <x v="9"/>
          </reference>
          <reference field="3" count="1" selected="0">
            <x v="1"/>
          </reference>
        </references>
      </pivotArea>
    </chartFormat>
    <chartFormat chart="34" format="16">
      <pivotArea type="data" outline="0" fieldPosition="0">
        <references count="3">
          <reference field="4294967294" count="1" selected="0">
            <x v="0"/>
          </reference>
          <reference field="2" count="1" selected="0">
            <x v="10"/>
          </reference>
          <reference field="3" count="1" selected="0">
            <x v="1"/>
          </reference>
        </references>
      </pivotArea>
    </chartFormat>
    <chartFormat chart="34" format="17">
      <pivotArea type="data" outline="0" fieldPosition="0">
        <references count="3">
          <reference field="4294967294" count="1" selected="0">
            <x v="0"/>
          </reference>
          <reference field="2" count="1" selected="0">
            <x v="11"/>
          </reference>
          <reference field="3" count="1" selected="0">
            <x v="1"/>
          </reference>
        </references>
      </pivotArea>
    </chartFormat>
    <chartFormat chart="34" format="18" series="1">
      <pivotArea type="data" outline="0" fieldPosition="0">
        <references count="1">
          <reference field="4294967294" count="1" selected="0">
            <x v="0"/>
          </reference>
        </references>
      </pivotArea>
    </chartFormat>
    <chartFormat chart="31" format="6" series="1">
      <pivotArea type="data" outline="0" fieldPosition="0">
        <references count="1">
          <reference field="4294967294" count="1" selected="0">
            <x v="0"/>
          </reference>
        </references>
      </pivotArea>
    </chartFormat>
  </chartFormats>
  <pivotHierarchies count="93">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g Unemployment Rate"/>
  </pivotHierarchies>
  <pivotTableStyleInfo name="PivotStyleLight16" showRowHeaders="1" showColHeaders="1" showRowStripes="0" showColStripes="0" showLastColumn="1"/>
  <rowHierarchiesUsage count="1">
    <rowHierarchyUsage hierarchyUsage="27"/>
  </rowHierarchiesUsage>
  <colHierarchiesUsage count="1">
    <colHierarchyUsage hierarchyUsage="3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ank_loan_data]"/>
        <x15:activeTabTopLevelEntity name="[raw_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orrower_experience_flag" xr10:uid="{3852F1C4-1BDB-4CC2-990D-921E7CCBF3AF}" sourceName="[bank_loan_data].[borrower_experience_flag]">
  <pivotTables>
    <pivotTable tabId="2" name="PivotTable3"/>
    <pivotTable tabId="2" name="PivotTable4"/>
    <pivotTable tabId="2" name="PivotTable1"/>
    <pivotTable tabId="2" name="PivotTable2"/>
    <pivotTable tabId="2" name="PivotTable5"/>
    <pivotTable tabId="2" name="PivotTable6"/>
    <pivotTable tabId="2" name="PivotTable7"/>
    <pivotTable tabId="2" name="PivotTable8"/>
    <pivotTable tabId="2" name="PivotTable9"/>
    <pivotTable tabId="2" name="PivotTable10"/>
    <pivotTable tabId="2" name="PivotTable11"/>
    <pivotTable tabId="2" name="PivotTable0"/>
    <pivotTable tabId="2" name="PivotTable12"/>
    <pivotTable tabId="2" name="PivotTable13"/>
    <pivotTable tabId="2" name="PivotTable14"/>
    <pivotTable tabId="2" name="PivotTable15"/>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6"/>
    <pivotTable tabId="2" name="PivotTable29"/>
  </pivotTables>
  <data>
    <olap pivotCacheId="1332404361">
      <levels count="2">
        <level uniqueName="[bank_loan_data].[borrower_experience_flag].[(All)]" sourceCaption="(All)" count="0"/>
        <level uniqueName="[bank_loan_data].[borrower_experience_flag].[borrower_experience_flag]" sourceCaption="borrower_experience_flag" count="2">
          <ranges>
            <range startItem="0">
              <i n="[bank_loan_data].[borrower_experience_flag].&amp;[Experienced]" c="Experienced"/>
              <i n="[bank_loan_data].[borrower_experience_flag].&amp;[New/Thin File]" c="New/Thin File"/>
            </range>
          </ranges>
        </level>
      </levels>
      <selections count="1">
        <selection n="[bank_loan_data].[borrower_experience_flag].[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unemployment_flag" xr10:uid="{A5E6EF23-A29C-450E-B70A-B808FCAB28B0}" sourceName="[bank_loan_data].[state_unemployment_flag]">
  <pivotTables>
    <pivotTable tabId="2" name="PivotTable21"/>
    <pivotTable tabId="2" name="PivotTable19"/>
    <pivotTable tabId="2" name="PivotTable20"/>
    <pivotTable tabId="2" name="PivotTable22"/>
    <pivotTable tabId="2" name="PivotTable23"/>
    <pivotTable tabId="2" name="PivotTable26"/>
    <pivotTable tabId="2" name="PivotTable29"/>
  </pivotTables>
  <data>
    <olap pivotCacheId="1332404361">
      <levels count="2">
        <level uniqueName="[bank_loan_data].[state_unemployment_flag].[(All)]" sourceCaption="(All)" count="0"/>
        <level uniqueName="[bank_loan_data].[state_unemployment_flag].[state_unemployment_flag]" sourceCaption="state_unemployment_flag" count="2">
          <ranges>
            <range startItem="0">
              <i n="[bank_loan_data].[state_unemployment_flag].&amp;[High Risk State]" c="High Risk State"/>
              <i n="[bank_loan_data].[state_unemployment_flag].&amp;[Low Risk State]" c="Low Risk State"/>
            </range>
          </ranges>
        </level>
      </levels>
      <selections count="1">
        <selection n="[bank_loan_data].[state_unemployment_flag].[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ddress_state" xr10:uid="{41B425C3-E89E-4ED5-9565-EE85C6D08670}" sourceName="[bank_loan_data].[address_state]">
  <pivotTables>
    <pivotTable tabId="2" name="PivotTable3"/>
    <pivotTable tabId="2" name="PivotTable4"/>
    <pivotTable tabId="2" name="PivotTable1"/>
    <pivotTable tabId="2" name="PivotTable2"/>
    <pivotTable tabId="2" name="PivotTable10"/>
    <pivotTable tabId="2" name="PivotTable11"/>
    <pivotTable tabId="2" name="PivotTable6"/>
    <pivotTable tabId="2" name="PivotTable7"/>
    <pivotTable tabId="2" name="PivotTable8"/>
    <pivotTable tabId="2" name="PivotTable9"/>
    <pivotTable tabId="2" name="PivotTable0"/>
    <pivotTable tabId="2" name="PivotTable12"/>
    <pivotTable tabId="2" name="PivotTable13"/>
    <pivotTable tabId="2" name="PivotTable14"/>
    <pivotTable tabId="2" name="PivotTable15"/>
    <pivotTable tabId="2" name="PivotTable16"/>
    <pivotTable tabId="2" name="PivotTable17"/>
    <pivotTable tabId="2" name="PivotTable19"/>
    <pivotTable tabId="2" name="PivotTable21"/>
    <pivotTable tabId="2" name="PivotTable29"/>
  </pivotTables>
  <data>
    <olap pivotCacheId="1332404361">
      <levels count="2">
        <level uniqueName="[bank_loan_data].[address_state].[(All)]" sourceCaption="(All)" count="0"/>
        <level uniqueName="[bank_loan_data].[address_state].[address_state]" sourceCaption="address_state" count="50">
          <ranges>
            <range startItem="0">
              <i n="[bank_loan_data].[address_state].&amp;[AK]" c="AK"/>
              <i n="[bank_loan_data].[address_state].&amp;[AL]" c="AL"/>
              <i n="[bank_loan_data].[address_state].&amp;[AR]" c="AR"/>
              <i n="[bank_loan_data].[address_state].&amp;[AZ]" c="AZ"/>
              <i n="[bank_loan_data].[address_state].&amp;[CA]" c="CA"/>
              <i n="[bank_loan_data].[address_state].&amp;[CO]" c="CO"/>
              <i n="[bank_loan_data].[address_state].&amp;[CT]" c="CT"/>
              <i n="[bank_loan_data].[address_state].&amp;[DC]" c="DC"/>
              <i n="[bank_loan_data].[address_state].&amp;[DE]" c="DE"/>
              <i n="[bank_loan_data].[address_state].&amp;[FL]" c="FL"/>
              <i n="[bank_loan_data].[address_state].&amp;[GA]" c="GA"/>
              <i n="[bank_loan_data].[address_state].&amp;[HI]" c="HI"/>
              <i n="[bank_loan_data].[address_state].&amp;[IA]" c="IA"/>
              <i n="[bank_loan_data].[address_state].&amp;[ID]" c="ID"/>
              <i n="[bank_loan_data].[address_state].&amp;[IL]" c="IL"/>
              <i n="[bank_loan_data].[address_state].&amp;[IN]" c="IN"/>
              <i n="[bank_loan_data].[address_state].&amp;[KS]" c="KS"/>
              <i n="[bank_loan_data].[address_state].&amp;[KY]" c="KY"/>
              <i n="[bank_loan_data].[address_state].&amp;[LA]" c="LA"/>
              <i n="[bank_loan_data].[address_state].&amp;[MA]" c="MA"/>
              <i n="[bank_loan_data].[address_state].&amp;[MD]" c="MD"/>
              <i n="[bank_loan_data].[address_state].&amp;[ME]" c="ME"/>
              <i n="[bank_loan_data].[address_state].&amp;[MI]" c="MI"/>
              <i n="[bank_loan_data].[address_state].&amp;[MN]" c="MN"/>
              <i n="[bank_loan_data].[address_state].&amp;[MO]" c="MO"/>
              <i n="[bank_loan_data].[address_state].&amp;[MS]" c="MS"/>
              <i n="[bank_loan_data].[address_state].&amp;[MT]" c="MT"/>
              <i n="[bank_loan_data].[address_state].&amp;[NC]" c="NC"/>
              <i n="[bank_loan_data].[address_state].&amp;[NE]" c="NE"/>
              <i n="[bank_loan_data].[address_state].&amp;[NH]" c="NH"/>
              <i n="[bank_loan_data].[address_state].&amp;[NJ]" c="NJ"/>
              <i n="[bank_loan_data].[address_state].&amp;[NM]" c="NM"/>
              <i n="[bank_loan_data].[address_state].&amp;[NV]" c="NV"/>
              <i n="[bank_loan_data].[address_state].&amp;[NY]" c="NY"/>
              <i n="[bank_loan_data].[address_state].&amp;[OH]" c="OH"/>
              <i n="[bank_loan_data].[address_state].&amp;[OK]" c="OK"/>
              <i n="[bank_loan_data].[address_state].&amp;[OR]" c="OR"/>
              <i n="[bank_loan_data].[address_state].&amp;[PA]" c="PA"/>
              <i n="[bank_loan_data].[address_state].&amp;[RI]" c="RI"/>
              <i n="[bank_loan_data].[address_state].&amp;[SC]" c="SC"/>
              <i n="[bank_loan_data].[address_state].&amp;[SD]" c="SD"/>
              <i n="[bank_loan_data].[address_state].&amp;[TN]" c="TN"/>
              <i n="[bank_loan_data].[address_state].&amp;[TX]" c="TX"/>
              <i n="[bank_loan_data].[address_state].&amp;[UT]" c="UT"/>
              <i n="[bank_loan_data].[address_state].&amp;[VA]" c="VA"/>
              <i n="[bank_loan_data].[address_state].&amp;[VT]" c="VT"/>
              <i n="[bank_loan_data].[address_state].&amp;[WA]" c="WA"/>
              <i n="[bank_loan_data].[address_state].&amp;[WI]" c="WI"/>
              <i n="[bank_loan_data].[address_state].&amp;[WV]" c="WV"/>
              <i n="[bank_loan_data].[address_state].&amp;[WY]" c="WY"/>
            </range>
          </ranges>
        </level>
      </levels>
      <selections count="1">
        <selection n="[bank_loan_data].[address_stat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 xr10:uid="{9131167F-D713-4F83-A3FC-731B0B267127}" sourceName="[bank_loan_data].[grade]">
  <pivotTables>
    <pivotTable tabId="2" name="PivotTable3"/>
    <pivotTable tabId="2" name="PivotTable4"/>
    <pivotTable tabId="2" name="PivotTable1"/>
    <pivotTable tabId="2" name="PivotTable2"/>
    <pivotTable tabId="2" name="PivotTable5"/>
    <pivotTable tabId="2" name="PivotTable6"/>
    <pivotTable tabId="2" name="PivotTable7"/>
    <pivotTable tabId="2" name="PivotTable8"/>
    <pivotTable tabId="2" name="PivotTable9"/>
    <pivotTable tabId="2" name="PivotTable10"/>
    <pivotTable tabId="2" name="PivotTable11"/>
    <pivotTable tabId="2" name="PivotTable0"/>
    <pivotTable tabId="2" name="PivotTable12"/>
    <pivotTable tabId="2" name="PivotTable13"/>
    <pivotTable tabId="2" name="PivotTable14"/>
    <pivotTable tabId="2" name="PivotTable15"/>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6"/>
    <pivotTable tabId="2" name="PivotTable29"/>
  </pivotTables>
  <data>
    <olap pivotCacheId="1332404361">
      <levels count="2">
        <level uniqueName="[bank_loan_data].[grade].[(All)]" sourceCaption="(All)" count="0"/>
        <level uniqueName="[bank_loan_data].[grade].[grade]" sourceCaption="grade" count="7">
          <ranges>
            <range startItem="0">
              <i n="[bank_loan_data].[grade].&amp;[A]" c="A"/>
              <i n="[bank_loan_data].[grade].&amp;[B]" c="B"/>
              <i n="[bank_loan_data].[grade].&amp;[C]" c="C"/>
              <i n="[bank_loan_data].[grade].&amp;[D]" c="D"/>
              <i n="[bank_loan_data].[grade].&amp;[E]" c="E"/>
              <i n="[bank_loan_data].[grade].&amp;[F]" c="F"/>
              <i n="[bank_loan_data].[grade].&amp;[G]" c="G"/>
            </range>
          </ranges>
        </level>
      </levels>
      <selections count="1">
        <selection n="[bank_loan_data].[grad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m_months" xr10:uid="{541F6CCA-A9D2-4C39-9E1F-0BF44727BC59}" sourceName="[bank_loan_data].[term_months]">
  <pivotTables>
    <pivotTable tabId="2" name="PivotTable3"/>
    <pivotTable tabId="2" name="PivotTable4"/>
    <pivotTable tabId="2" name="PivotTable1"/>
    <pivotTable tabId="2" name="PivotTable2"/>
    <pivotTable tabId="2" name="PivotTable5"/>
    <pivotTable tabId="2" name="PivotTable6"/>
    <pivotTable tabId="2" name="PivotTable7"/>
    <pivotTable tabId="2" name="PivotTable8"/>
    <pivotTable tabId="2" name="PivotTable9"/>
    <pivotTable tabId="2" name="PivotTable10"/>
    <pivotTable tabId="2" name="PivotTable11"/>
    <pivotTable tabId="2" name="PivotTable0"/>
    <pivotTable tabId="2" name="PivotTable12"/>
    <pivotTable tabId="2" name="PivotTable13"/>
    <pivotTable tabId="2" name="PivotTable14"/>
    <pivotTable tabId="2" name="PivotTable15"/>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6"/>
    <pivotTable tabId="2" name="PivotTable29"/>
  </pivotTables>
  <data>
    <olap pivotCacheId="1332404361">
      <levels count="2">
        <level uniqueName="[bank_loan_data].[term_months].[(All)]" sourceCaption="(All)" count="0"/>
        <level uniqueName="[bank_loan_data].[term_months].[term_months]" sourceCaption="term_months" count="2">
          <ranges>
            <range startItem="0">
              <i n="[bank_loan_data].[term_months].&amp;[36]" c="36"/>
              <i n="[bank_loan_data].[term_months].&amp;[60]" c="60"/>
            </range>
          </ranges>
        </level>
      </levels>
      <selections count="1">
        <selection n="[bank_loan_data].[term_month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 xr10:uid="{A8985BCB-C92F-4EB4-8177-015E207CB49B}" sourceName="[bank_loan_data].[loan_status]">
  <pivotTables>
    <pivotTable tabId="2" name="PivotTable5"/>
    <pivotTable tabId="2" name="PivotTable6"/>
    <pivotTable tabId="2" name="PivotTable7"/>
    <pivotTable tabId="2" name="PivotTable8"/>
    <pivotTable tabId="2" name="PivotTable9"/>
    <pivotTable tabId="2" name="PivotTable10"/>
    <pivotTable tabId="2" name="PivotTable11"/>
    <pivotTable tabId="2" name="PivotTable0"/>
    <pivotTable tabId="2" name="PivotTable12"/>
    <pivotTable tabId="2" name="PivotTable13"/>
    <pivotTable tabId="2" name="PivotTable14"/>
    <pivotTable tabId="2" name="PivotTable15"/>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6"/>
    <pivotTable tabId="2" name="PivotTable29"/>
  </pivotTables>
  <data>
    <olap pivotCacheId="1332404361">
      <levels count="2">
        <level uniqueName="[bank_loan_data].[loan_status].[(All)]" sourceCaption="(All)" count="0"/>
        <level uniqueName="[bank_loan_data].[loan_status].[loan_status]" sourceCaption="loan_status" count="3">
          <ranges>
            <range startItem="0">
              <i n="[bank_loan_data].[loan_status].&amp;[Charged Off]" c="Charged Off"/>
              <i n="[bank_loan_data].[loan_status].&amp;[Current]" c="Current"/>
              <i n="[bank_loan_data].[loan_status].&amp;[Fully Paid]" c="Fully Paid"/>
            </range>
          </ranges>
        </level>
      </levels>
      <selections count="1">
        <selection n="[bank_loan_data].[loan_status].[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_length" xr10:uid="{83D1602B-65F8-4BDB-9CFD-ECCC295246CC}" sourceName="[bank_loan_data].[emp_length]">
  <pivotTables>
    <pivotTable tabId="2" name="PivotTable9"/>
    <pivotTable tabId="2" name="PivotTable10"/>
    <pivotTable tabId="2" name="PivotTable11"/>
    <pivotTable tabId="2" name="PivotTable6"/>
    <pivotTable tabId="2" name="PivotTable7"/>
    <pivotTable tabId="2" name="PivotTable8"/>
    <pivotTable tabId="2" name="PivotTable0"/>
    <pivotTable tabId="2" name="PivotTable12"/>
    <pivotTable tabId="2" name="PivotTable13"/>
    <pivotTable tabId="2" name="PivotTable14"/>
    <pivotTable tabId="2" name="PivotTable15"/>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6"/>
    <pivotTable tabId="2" name="PivotTable29"/>
  </pivotTables>
  <data>
    <olap pivotCacheId="1332404361">
      <levels count="2">
        <level uniqueName="[bank_loan_data].[emp_length].[(All)]" sourceCaption="(All)" count="0"/>
        <level uniqueName="[bank_loan_data].[emp_length].[emp_length]" sourceCaption="emp_length" count="11" sortOrder="ascending">
          <ranges>
            <range startItem="0">
              <i n="[bank_loan_data].[emp_length].&amp;[&lt; 1 year]" c="&lt; 1 year"/>
              <i n="[bank_loan_data].[emp_length].&amp;[1 year]" c="1 year"/>
              <i n="[bank_loan_data].[emp_length].&amp;[10+ years]" c="10+ years"/>
              <i n="[bank_loan_data].[emp_length].&amp;[2 years]" c="2 years"/>
              <i n="[bank_loan_data].[emp_length].&amp;[3 years]" c="3 years"/>
              <i n="[bank_loan_data].[emp_length].&amp;[4 years]" c="4 years"/>
              <i n="[bank_loan_data].[emp_length].&amp;[5 years]" c="5 years"/>
              <i n="[bank_loan_data].[emp_length].&amp;[6 years]" c="6 years"/>
              <i n="[bank_loan_data].[emp_length].&amp;[7 years]" c="7 years"/>
              <i n="[bank_loan_data].[emp_length].&amp;[8 years]" c="8 years"/>
              <i n="[bank_loan_data].[emp_length].&amp;[9 years]" c="9 years"/>
            </range>
          </ranges>
        </level>
      </levels>
      <selections count="1">
        <selection n="[bank_loan_data].[emp_length].[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ship" xr10:uid="{8A3E25DF-37AA-4483-8CD5-16CDCF67D6BB}" sourceName="[bank_loan_data].[home_ownership]">
  <pivotTables>
    <pivotTable tabId="2" name="PivotTable9"/>
    <pivotTable tabId="2" name="PivotTable10"/>
    <pivotTable tabId="2" name="PivotTable11"/>
    <pivotTable tabId="2" name="PivotTable7"/>
    <pivotTable tabId="2" name="PivotTable8"/>
    <pivotTable tabId="2" name="PivotTable0"/>
    <pivotTable tabId="2" name="PivotTable12"/>
    <pivotTable tabId="2" name="PivotTable13"/>
    <pivotTable tabId="2" name="PivotTable14"/>
    <pivotTable tabId="2" name="PivotTable15"/>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6"/>
    <pivotTable tabId="2" name="PivotTable29"/>
  </pivotTables>
  <data>
    <olap pivotCacheId="1332404361">
      <levels count="2">
        <level uniqueName="[bank_loan_data].[home_ownership].[(All)]" sourceCaption="(All)" count="0"/>
        <level uniqueName="[bank_loan_data].[home_ownership].[home_ownership]" sourceCaption="home_ownership" count="5">
          <ranges>
            <range startItem="0">
              <i n="[bank_loan_data].[home_ownership].&amp;[MORTGAGE]" c="MORTGAGE"/>
              <i n="[bank_loan_data].[home_ownership].&amp;[NONE]" c="NONE"/>
              <i n="[bank_loan_data].[home_ownership].&amp;[OTHER]" c="OTHER"/>
              <i n="[bank_loan_data].[home_ownership].&amp;[OWN]" c="OWN"/>
              <i n="[bank_loan_data].[home_ownership].&amp;[RENT]" c="RENT"/>
            </range>
          </ranges>
        </level>
      </levels>
      <selections count="1">
        <selection n="[bank_loan_data].[home_ownership].[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Quality" xr10:uid="{B6C5D718-3895-4EF1-8119-CCD029C2A42F}" sourceName="[bank_loan_data].[Loan Quality]">
  <pivotTables>
    <pivotTable tabId="2" name="PivotTable9"/>
    <pivotTable tabId="2" name="PivotTable10"/>
    <pivotTable tabId="2" name="PivotTable11"/>
    <pivotTable tabId="2" name="PivotTable6"/>
    <pivotTable tabId="2" name="PivotTable7"/>
    <pivotTable tabId="2" name="PivotTable8"/>
    <pivotTable tabId="2" name="PivotTable0"/>
    <pivotTable tabId="2" name="PivotTable12"/>
    <pivotTable tabId="2" name="PivotTable13"/>
    <pivotTable tabId="2" name="PivotTable14"/>
    <pivotTable tabId="2" name="PivotTable15"/>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6"/>
    <pivotTable tabId="2" name="PivotTable29"/>
  </pivotTables>
  <data>
    <olap pivotCacheId="1332404361">
      <levels count="2">
        <level uniqueName="[bank_loan_data].[Loan Quality].[(All)]" sourceCaption="(All)" count="0"/>
        <level uniqueName="[bank_loan_data].[Loan Quality].[Loan Quality]" sourceCaption="Loan Quality" count="2">
          <ranges>
            <range startItem="0">
              <i n="[bank_loan_data].[Loan Quality].&amp;[Bad Loan]" c="Bad Loan"/>
              <i n="[bank_loan_data].[Loan Quality].&amp;[Good Loan]" c="Good Loan"/>
            </range>
          </ranges>
        </level>
      </levels>
      <selections count="1">
        <selection n="[bank_loan_data].[Loan Quality].[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iskFlag" xr10:uid="{D05E6FBE-6A95-423F-9D50-6562609B59CF}" sourceName="[bank_loan_data].[RiskFlag]">
  <pivotTables>
    <pivotTable tabId="2" name="PivotTable17"/>
    <pivotTable tabId="2" name="PivotTable12"/>
    <pivotTable tabId="2" name="PivotTable13"/>
    <pivotTable tabId="2" name="PivotTable14"/>
    <pivotTable tabId="2" name="PivotTable15"/>
    <pivotTable tabId="2" name="PivotTable16"/>
    <pivotTable tabId="2" name="PivotTable18"/>
    <pivotTable tabId="2" name="PivotTable19"/>
    <pivotTable tabId="2" name="PivotTable20"/>
    <pivotTable tabId="2" name="PivotTable21"/>
    <pivotTable tabId="2" name="PivotTable22"/>
    <pivotTable tabId="2" name="PivotTable23"/>
    <pivotTable tabId="2" name="PivotTable26"/>
    <pivotTable tabId="2" name="PivotTable29"/>
  </pivotTables>
  <data>
    <olap pivotCacheId="140218552">
      <levels count="2">
        <level uniqueName="[bank_loan_data].[RiskFlag].[(All)]" sourceCaption="(All)" count="0"/>
        <level uniqueName="[bank_loan_data].[RiskFlag].[RiskFlag]" sourceCaption="RiskFlag" count="2">
          <ranges>
            <range startItem="0">
              <i n="[bank_loan_data].[RiskFlag].&amp;[High Risk]" c="High Risk"/>
              <i n="[bank_loan_data].[RiskFlag].&amp;[Low/Medium Risk]" c="Low/Medium Risk"/>
            </range>
          </ranges>
        </level>
      </levels>
      <selections count="1">
        <selection n="[bank_loan_data].[RiskFlag].[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orrower_experience_flag" xr10:uid="{8F80E0AA-E69B-497D-B2EE-AB9580334008}" cache="Slicer_borrower_experience_flag" caption="Borrower Exp" level="1" style="Ex Sum View" rowHeight="234950"/>
  <slicer name="address_state" xr10:uid="{FEDB7E2A-A210-4307-92C4-825859E30E40}" cache="Slicer_address_state" caption="State" startItem="28" level="1" style="Ex Sum View" rowHeight="234950"/>
  <slicer name="grade" xr10:uid="{CBD250F5-20AA-48DA-A936-F67335393EDD}" cache="Slicer_grade" caption="Grade" level="1" style="Ex Sum View" rowHeight="234950"/>
  <slicer name="term_months" xr10:uid="{A69262B2-1B90-4B4A-AE09-EA1F9F14FF82}" cache="Slicer_term_months" caption="Term" level="1" style="Ex Sum View" rowHeight="234950"/>
  <slicer name="loan_status" xr10:uid="{71C4D2B3-C03E-4512-AFEF-71DF00618353}" cache="Slicer_loan_status" startItem="1" level="1" style="Ex Sum View 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ess_state 1" xr10:uid="{91BDAF8F-5342-46C9-AC77-A2FDF07997E8}" cache="Slicer_address_state" caption="State" level="1" style="Ex Sum View" rowHeight="234950"/>
  <slicer name="emp_length" xr10:uid="{54DBB0EA-81CD-4321-B7D9-C5D6323AA7F6}" cache="Slicer_emp_length" caption="emp_length" startItem="3" level="1" style="Ex Sum View" rowHeight="234950"/>
  <slicer name="home_ownership" xr10:uid="{FFC72B8E-9F4E-4E95-8239-3F867ABD270D}" cache="Slicer_home_ownership" caption="home_ownership" level="1" style="Ex Sum View" rowHeight="234950"/>
  <slicer name="Loan Quality" xr10:uid="{141C3A02-30CA-4612-AC50-B571336E0566}" cache="Slicer_Loan_Quality" caption="Loan Quality" level="1" style="Ex Sum View"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ess_state 2" xr10:uid="{204F71BF-41F3-4D26-ABA2-FB089022114E}" cache="Slicer_address_state" caption="State" level="1" style="Ex Sum View" rowHeight="234950"/>
  <slicer name="grade 1" xr10:uid="{F13A5810-67A5-43CB-A44E-17E91942192F}" cache="Slicer_grade" caption="Grade" level="1" style="Ex Sum View" rowHeight="234950"/>
  <slicer name="home_ownership 1" xr10:uid="{A6AD41E3-CF5F-4A76-9C9A-5DF3E1FB09F7}" cache="Slicer_home_ownership" caption="home_ownership" level="1" style="Ex Sum View" rowHeight="234950"/>
  <slicer name="RiskFlag" xr10:uid="{D063F66F-3E5E-45D6-AE36-17D3655EEF90}" cache="Slicer_RiskFlag" caption="RiskFlag" level="1" style="Ex Sum View"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ess_state 3" xr10:uid="{880E6E67-88FB-4406-B00B-70DC871817A7}" cache="Slicer_address_state" caption="State" level="1" style="Ex Sum View" rowHeight="234950"/>
  <slicer name="state_unemployment_flag" xr10:uid="{5012BC6D-EE01-49F3-B51E-43CFF7DB2D11}" cache="Slicer_state_unemployment_flag" caption="state_unemployment_flag" level="1" style="Ex Sum View"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DB83553-2F86-4F15-A186-9DD26A8A4D12}" name="Table1" displayName="Table1" ref="R153:U203" totalsRowShown="0">
  <autoFilter ref="R153:U203" xr:uid="{BDB83553-2F86-4F15-A186-9DD26A8A4D12}"/>
  <tableColumns count="4">
    <tableColumn id="1" xr3:uid="{854C0557-B2F3-4BD4-B68F-E53156DBFE19}" name="Sates">
      <calculatedColumnFormula>K154</calculatedColumnFormula>
    </tableColumn>
    <tableColumn id="2" xr3:uid="{E0726290-D852-4BFA-B779-8ECC852314F1}" name="Fraud %" dataDxfId="2" dataCellStyle="Percent"/>
    <tableColumn id="3" xr3:uid="{224A5646-197C-46F9-878F-7751064B3B0D}" name="Avg Loan Amount" dataDxfId="1"/>
    <tableColumn id="4" xr3:uid="{93617DE6-8B4B-4D9F-987F-430DB086CE80}" name="Avg Interest Rate" dataDxfId="0" dataCellStyle="Percent"/>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D0908BE-D04C-4B92-ADD5-3BBCECCDAA32}" name="Table2" displayName="Table2" ref="I273:J278" totalsRowShown="0">
  <autoFilter ref="I273:J278" xr:uid="{3D0908BE-D04C-4B92-ADD5-3BBCECCDAA32}"/>
  <tableColumns count="2">
    <tableColumn id="1" xr3:uid="{0ADC84CD-2ECE-47FA-9997-E7B3271A4B91}" name="Home Ownership">
      <calculatedColumnFormula>F274</calculatedColumnFormula>
    </tableColumn>
    <tableColumn id="2" xr3:uid="{644ED1EC-B899-4177-B95D-24C28E0509EA}" name="Funded Loans"/>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issue_date" xr10:uid="{71A7C237-3DCF-4520-9868-21F1319D835C}" sourceName="[bank_loan_data].[issue_date]">
  <pivotTables>
    <pivotTable tabId="2" name="PivotTable18"/>
    <pivotTable tabId="2" name="PivotTable19"/>
    <pivotTable tabId="2" name="PivotTable20"/>
    <pivotTable tabId="2" name="PivotTable22"/>
    <pivotTable tabId="2" name="PivotTable23"/>
    <pivotTable tabId="2" name="PivotTable26"/>
    <pivotTable tabId="2" name="PivotTable29"/>
  </pivotTables>
  <state minimalRefreshVersion="6" lastRefreshVersion="6" pivotCacheId="748402954" filterType="unknown">
    <bounds startDate="2021-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ssue_date" xr10:uid="{A4F3CC12-76DC-4B2A-A505-8DF3F00D107C}" cache="Timeline_issue_date" caption="" showSelectionLabel="0" showTimeLevel="0" level="2" selectionLevel="2" scrollPosition="2021-01-01T00:00:00" style="TimeSlicer My edited verison"/>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vmlDrawing" Target="../drawings/vmlDrawing3.v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vmlDrawing" Target="../drawings/vmlDrawing4.vml"/><Relationship Id="rId1" Type="http://schemas.openxmlformats.org/officeDocument/2006/relationships/drawing" Target="../drawings/drawing4.xml"/><Relationship Id="rId4" Type="http://schemas.microsoft.com/office/2011/relationships/timeline" Target="../timelines/timeline1.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table" Target="../tables/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table" Target="../tables/table1.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45"/>
  <sheetViews>
    <sheetView showGridLines="0" tabSelected="1" zoomScale="80" zoomScaleNormal="80" workbookViewId="0">
      <selection activeCell="I51" sqref="I51"/>
    </sheetView>
  </sheetViews>
  <sheetFormatPr defaultRowHeight="14.4" x14ac:dyDescent="0.3"/>
  <cols>
    <col min="30" max="30" width="5.6640625" customWidth="1"/>
  </cols>
  <sheetData>
    <row r="1" spans="1:30" x14ac:dyDescent="0.3">
      <c r="A1" s="12"/>
      <c r="B1" s="12"/>
      <c r="C1" s="12"/>
      <c r="D1" s="12"/>
      <c r="E1" s="12"/>
      <c r="F1" s="12"/>
      <c r="G1" s="12"/>
      <c r="H1" s="12"/>
      <c r="I1" s="12"/>
      <c r="J1" s="12"/>
      <c r="K1" s="12"/>
      <c r="L1" s="12"/>
      <c r="M1" s="12"/>
      <c r="N1" s="12"/>
      <c r="O1" s="12"/>
      <c r="P1" s="12"/>
      <c r="Q1" s="12"/>
      <c r="R1" s="12"/>
      <c r="S1" s="12"/>
      <c r="T1" s="12"/>
      <c r="U1" s="12"/>
      <c r="V1" s="12"/>
      <c r="W1" s="12"/>
      <c r="X1" s="12"/>
      <c r="Y1" s="12"/>
      <c r="Z1" s="12"/>
      <c r="AA1" s="12"/>
      <c r="AB1" s="12"/>
      <c r="AC1" s="12"/>
      <c r="AD1" s="12"/>
    </row>
    <row r="2" spans="1:30" x14ac:dyDescent="0.3">
      <c r="A2" s="12"/>
      <c r="B2" s="12"/>
      <c r="C2" s="12"/>
      <c r="D2" s="12"/>
      <c r="E2" s="12"/>
      <c r="F2" s="12"/>
      <c r="G2" s="12"/>
      <c r="H2" s="12"/>
      <c r="I2" s="12"/>
      <c r="J2" s="12"/>
      <c r="K2" s="12"/>
      <c r="L2" s="12"/>
      <c r="M2" s="12"/>
      <c r="N2" s="12"/>
      <c r="O2" s="12"/>
      <c r="P2" s="12"/>
      <c r="Q2" s="12"/>
      <c r="R2" s="12"/>
      <c r="S2" s="12"/>
      <c r="T2" s="12"/>
      <c r="U2" s="12"/>
      <c r="V2" s="12"/>
      <c r="W2" s="12"/>
      <c r="X2" s="12"/>
      <c r="Y2" s="12"/>
      <c r="Z2" s="12"/>
      <c r="AA2" s="12"/>
      <c r="AB2" s="12"/>
      <c r="AC2" s="12"/>
      <c r="AD2" s="12"/>
    </row>
    <row r="3" spans="1:30" x14ac:dyDescent="0.3">
      <c r="A3" s="12"/>
      <c r="B3" s="12"/>
      <c r="C3" s="12"/>
      <c r="D3" s="12"/>
      <c r="E3" s="12"/>
      <c r="F3" s="12"/>
      <c r="G3" s="12"/>
      <c r="H3" s="12"/>
      <c r="I3" s="12"/>
      <c r="J3" s="12"/>
      <c r="K3" s="12"/>
      <c r="L3" s="12"/>
      <c r="M3" s="12"/>
      <c r="N3" s="12"/>
      <c r="O3" s="12"/>
      <c r="P3" s="12"/>
      <c r="Q3" s="12"/>
      <c r="R3" s="12"/>
      <c r="S3" s="12"/>
      <c r="T3" s="12"/>
      <c r="U3" s="12"/>
      <c r="V3" s="12"/>
      <c r="W3" s="12"/>
      <c r="X3" s="12"/>
      <c r="Y3" s="12"/>
      <c r="Z3" s="12"/>
      <c r="AA3" s="12"/>
      <c r="AB3" s="12"/>
      <c r="AC3" s="12"/>
      <c r="AD3" s="12"/>
    </row>
    <row r="4" spans="1:30" x14ac:dyDescent="0.3">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row>
    <row r="5" spans="1:30" x14ac:dyDescent="0.3">
      <c r="A5" s="12"/>
      <c r="B5" s="12"/>
      <c r="C5" s="12"/>
      <c r="D5" s="12"/>
      <c r="E5" s="12"/>
      <c r="F5" s="12"/>
      <c r="G5" s="12"/>
      <c r="H5" s="12"/>
      <c r="I5" s="12"/>
      <c r="J5" s="12"/>
      <c r="K5" s="12"/>
      <c r="L5" s="12"/>
      <c r="M5" s="12"/>
      <c r="N5" s="12"/>
      <c r="O5" s="12"/>
      <c r="P5" s="12"/>
      <c r="Q5" s="12"/>
      <c r="R5" s="12"/>
      <c r="S5" s="12"/>
      <c r="T5" s="12"/>
      <c r="U5" s="12"/>
      <c r="V5" s="12"/>
      <c r="W5" s="12"/>
      <c r="X5" s="12"/>
      <c r="Y5" s="12"/>
      <c r="Z5" s="12"/>
      <c r="AA5" s="12"/>
      <c r="AB5" s="12"/>
      <c r="AC5" s="12"/>
      <c r="AD5" s="12"/>
    </row>
    <row r="6" spans="1:30" x14ac:dyDescent="0.3">
      <c r="A6" s="12"/>
      <c r="B6" s="12"/>
      <c r="C6" s="12"/>
      <c r="D6" s="12"/>
      <c r="E6" s="12"/>
      <c r="F6" s="12"/>
      <c r="G6" s="12"/>
      <c r="H6" s="12"/>
      <c r="I6" s="12"/>
      <c r="J6" s="12"/>
      <c r="K6" s="12"/>
      <c r="L6" s="12"/>
      <c r="M6" s="12"/>
      <c r="N6" s="12"/>
      <c r="O6" s="12"/>
      <c r="P6" s="12"/>
      <c r="Q6" s="12"/>
      <c r="R6" s="12"/>
      <c r="S6" s="12"/>
      <c r="T6" s="12"/>
      <c r="U6" s="12"/>
      <c r="V6" s="12"/>
      <c r="W6" s="12"/>
      <c r="X6" s="12"/>
      <c r="Y6" s="12"/>
      <c r="Z6" s="12"/>
      <c r="AA6" s="12"/>
      <c r="AB6" s="12"/>
      <c r="AC6" s="12"/>
      <c r="AD6" s="12"/>
    </row>
    <row r="7" spans="1:30" x14ac:dyDescent="0.3">
      <c r="A7" s="12"/>
      <c r="B7" s="12"/>
      <c r="C7" s="12"/>
      <c r="D7" s="12"/>
      <c r="E7" s="12"/>
      <c r="F7" s="12"/>
      <c r="G7" s="12"/>
      <c r="H7" s="12"/>
      <c r="I7" s="12"/>
      <c r="J7" s="12"/>
      <c r="K7" s="12"/>
      <c r="L7" s="12"/>
      <c r="M7" s="12"/>
      <c r="N7" s="12"/>
      <c r="O7" s="12"/>
      <c r="P7" s="12"/>
      <c r="Q7" s="12"/>
      <c r="R7" s="12"/>
      <c r="S7" s="12"/>
      <c r="T7" s="12"/>
      <c r="U7" s="12"/>
      <c r="V7" s="12"/>
      <c r="W7" s="12"/>
      <c r="X7" s="12"/>
      <c r="Y7" s="12"/>
      <c r="Z7" s="12"/>
      <c r="AA7" s="12"/>
      <c r="AB7" s="12"/>
      <c r="AC7" s="12"/>
      <c r="AD7" s="12"/>
    </row>
    <row r="8" spans="1:30" x14ac:dyDescent="0.3">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c r="AC8" s="12"/>
      <c r="AD8" s="12"/>
    </row>
    <row r="9" spans="1:30" x14ac:dyDescent="0.3">
      <c r="A9" s="12"/>
      <c r="B9" s="12"/>
      <c r="C9" s="12"/>
      <c r="D9" s="12"/>
      <c r="E9" s="12"/>
      <c r="F9" s="12"/>
      <c r="G9" s="12"/>
      <c r="H9" s="12"/>
      <c r="I9" s="12"/>
      <c r="J9" s="12"/>
      <c r="K9" s="12"/>
      <c r="L9" s="12"/>
      <c r="M9" s="12"/>
      <c r="N9" s="12"/>
      <c r="O9" s="12"/>
      <c r="P9" s="12"/>
      <c r="Q9" s="12"/>
      <c r="R9" s="12"/>
      <c r="S9" s="12"/>
      <c r="T9" s="12"/>
      <c r="U9" s="12"/>
      <c r="V9" s="12"/>
      <c r="W9" s="12"/>
      <c r="X9" s="12"/>
      <c r="Y9" s="12"/>
      <c r="Z9" s="12"/>
      <c r="AA9" s="12"/>
      <c r="AB9" s="12"/>
      <c r="AC9" s="12"/>
      <c r="AD9" s="12"/>
    </row>
    <row r="10" spans="1:30" x14ac:dyDescent="0.3">
      <c r="A10" s="12"/>
      <c r="B10" s="12"/>
      <c r="C10" s="12"/>
      <c r="D10" s="12"/>
      <c r="E10" s="12"/>
      <c r="F10" s="12"/>
      <c r="G10" s="12"/>
      <c r="H10" s="12"/>
      <c r="I10" s="12"/>
      <c r="J10" s="12"/>
      <c r="K10" s="12"/>
      <c r="L10" s="12"/>
      <c r="M10" s="12"/>
      <c r="N10" s="12"/>
      <c r="O10" s="12"/>
      <c r="P10" s="12"/>
      <c r="Q10" s="12"/>
      <c r="R10" s="12"/>
      <c r="S10" s="12"/>
      <c r="T10" s="12"/>
      <c r="U10" s="12"/>
      <c r="V10" s="12"/>
      <c r="W10" s="12"/>
      <c r="X10" s="12"/>
      <c r="Y10" s="12"/>
      <c r="Z10" s="12"/>
      <c r="AA10" s="12"/>
      <c r="AB10" s="12"/>
      <c r="AC10" s="12"/>
      <c r="AD10" s="12"/>
    </row>
    <row r="11" spans="1:30" x14ac:dyDescent="0.3">
      <c r="A11" s="12"/>
      <c r="B11" s="12"/>
      <c r="C11" s="12"/>
      <c r="D11" s="12"/>
      <c r="E11" s="12"/>
      <c r="F11" s="12"/>
      <c r="G11" s="12"/>
      <c r="H11" s="12"/>
      <c r="I11" s="12"/>
      <c r="J11" s="12"/>
      <c r="K11" s="12"/>
      <c r="L11" s="12"/>
      <c r="M11" s="12"/>
      <c r="N11" s="12"/>
      <c r="O11" s="12"/>
      <c r="P11" s="12"/>
      <c r="Q11" s="12"/>
      <c r="R11" s="12"/>
      <c r="S11" s="12"/>
      <c r="T11" s="12"/>
      <c r="U11" s="12"/>
      <c r="V11" s="12"/>
      <c r="W11" s="12"/>
      <c r="X11" s="12"/>
      <c r="Y11" s="12"/>
      <c r="Z11" s="12"/>
      <c r="AA11" s="12"/>
      <c r="AB11" s="12"/>
      <c r="AC11" s="12"/>
      <c r="AD11" s="12"/>
    </row>
    <row r="12" spans="1:30" x14ac:dyDescent="0.3">
      <c r="A12" s="12"/>
      <c r="B12" s="12"/>
      <c r="C12" s="12"/>
      <c r="D12" s="12"/>
      <c r="E12" s="12"/>
      <c r="F12" s="12"/>
      <c r="G12" s="12"/>
      <c r="H12" s="12"/>
      <c r="I12" s="12"/>
      <c r="J12" s="12"/>
      <c r="K12" s="12"/>
      <c r="L12" s="12"/>
      <c r="M12" s="12"/>
      <c r="N12" s="12"/>
      <c r="O12" s="12"/>
      <c r="P12" s="12"/>
      <c r="Q12" s="12"/>
      <c r="R12" s="12"/>
      <c r="S12" s="12"/>
      <c r="T12" s="12"/>
      <c r="U12" s="12"/>
      <c r="V12" s="12"/>
      <c r="W12" s="12"/>
      <c r="X12" s="12"/>
      <c r="Y12" s="12"/>
      <c r="Z12" s="12"/>
      <c r="AA12" s="12"/>
      <c r="AB12" s="12"/>
      <c r="AC12" s="12"/>
      <c r="AD12" s="12"/>
    </row>
    <row r="13" spans="1:30" x14ac:dyDescent="0.3">
      <c r="A13" s="12"/>
      <c r="B13" s="12"/>
      <c r="C13" s="12"/>
      <c r="D13" s="12"/>
      <c r="E13" s="12"/>
      <c r="F13" s="12"/>
      <c r="G13" s="12"/>
      <c r="H13" s="12"/>
      <c r="I13" s="12"/>
      <c r="J13" s="12"/>
      <c r="K13" s="12"/>
      <c r="L13" s="12"/>
      <c r="M13" s="12"/>
      <c r="N13" s="12"/>
      <c r="O13" s="12"/>
      <c r="P13" s="12"/>
      <c r="Q13" s="12"/>
      <c r="R13" s="12"/>
      <c r="S13" s="12"/>
      <c r="T13" s="12"/>
      <c r="U13" s="12"/>
      <c r="V13" s="12"/>
      <c r="W13" s="12"/>
      <c r="X13" s="12"/>
      <c r="Y13" s="12"/>
      <c r="Z13" s="12"/>
      <c r="AA13" s="12"/>
      <c r="AB13" s="12"/>
      <c r="AC13" s="12"/>
      <c r="AD13" s="12"/>
    </row>
    <row r="14" spans="1:30" x14ac:dyDescent="0.3">
      <c r="A14" s="12"/>
      <c r="B14" s="12"/>
      <c r="C14" s="12"/>
      <c r="D14" s="12"/>
      <c r="E14" s="12"/>
      <c r="F14" s="12"/>
      <c r="G14" s="12"/>
      <c r="H14" s="12"/>
      <c r="I14" s="12"/>
      <c r="J14" s="12"/>
      <c r="K14" s="12"/>
      <c r="L14" s="12"/>
      <c r="M14" s="12"/>
      <c r="N14" s="12"/>
      <c r="O14" s="12"/>
      <c r="P14" s="12"/>
      <c r="Q14" s="12"/>
      <c r="R14" s="12"/>
      <c r="S14" s="12"/>
      <c r="T14" s="12"/>
      <c r="U14" s="12"/>
      <c r="V14" s="12"/>
      <c r="W14" s="12"/>
      <c r="X14" s="12"/>
      <c r="Y14" s="12"/>
      <c r="Z14" s="12"/>
      <c r="AA14" s="12"/>
      <c r="AB14" s="12"/>
      <c r="AC14" s="12"/>
      <c r="AD14" s="12"/>
    </row>
    <row r="15" spans="1:30" x14ac:dyDescent="0.3">
      <c r="A15" s="12"/>
      <c r="B15" s="12"/>
      <c r="C15" s="12"/>
      <c r="D15" s="12"/>
      <c r="E15" s="12"/>
      <c r="F15" s="12"/>
      <c r="G15" s="12"/>
      <c r="H15" s="12"/>
      <c r="I15" s="12"/>
      <c r="J15" s="12"/>
      <c r="K15" s="12"/>
      <c r="L15" s="12"/>
      <c r="M15" s="12"/>
      <c r="N15" s="12"/>
      <c r="O15" s="12"/>
      <c r="P15" s="12"/>
      <c r="Q15" s="12"/>
      <c r="R15" s="12"/>
      <c r="S15" s="12"/>
      <c r="T15" s="12"/>
      <c r="U15" s="12"/>
      <c r="V15" s="12"/>
      <c r="W15" s="12"/>
      <c r="X15" s="12"/>
      <c r="Y15" s="12"/>
      <c r="Z15" s="12"/>
      <c r="AA15" s="12"/>
      <c r="AB15" s="12"/>
      <c r="AC15" s="12"/>
      <c r="AD15" s="12"/>
    </row>
    <row r="16" spans="1:30" x14ac:dyDescent="0.3">
      <c r="A16" s="12"/>
      <c r="B16" s="12"/>
      <c r="C16" s="12"/>
      <c r="D16" s="12"/>
      <c r="E16" s="12"/>
      <c r="F16" s="12"/>
      <c r="G16" s="12"/>
      <c r="H16" s="12"/>
      <c r="I16" s="12"/>
      <c r="J16" s="12"/>
      <c r="K16" s="12"/>
      <c r="L16" s="12"/>
      <c r="M16" s="12"/>
      <c r="N16" s="12"/>
      <c r="O16" s="12"/>
      <c r="P16" s="12"/>
      <c r="Q16" s="12"/>
      <c r="R16" s="12"/>
      <c r="S16" s="12"/>
      <c r="T16" s="12"/>
      <c r="U16" s="12"/>
      <c r="V16" s="12"/>
      <c r="W16" s="12"/>
      <c r="X16" s="12"/>
      <c r="Y16" s="12"/>
      <c r="Z16" s="12"/>
      <c r="AA16" s="12"/>
      <c r="AB16" s="12"/>
      <c r="AC16" s="12"/>
      <c r="AD16" s="12"/>
    </row>
    <row r="17" spans="1:30" x14ac:dyDescent="0.3">
      <c r="A17" s="12"/>
      <c r="B17" s="12"/>
      <c r="C17" s="12"/>
      <c r="D17" s="12"/>
      <c r="E17" s="12"/>
      <c r="F17" s="12"/>
      <c r="G17" s="12"/>
      <c r="H17" s="12"/>
      <c r="I17" s="12"/>
      <c r="J17" s="12"/>
      <c r="K17" s="12"/>
      <c r="L17" s="12"/>
      <c r="M17" s="12"/>
      <c r="N17" s="12"/>
      <c r="O17" s="12"/>
      <c r="P17" s="12"/>
      <c r="Q17" s="12"/>
      <c r="R17" s="12"/>
      <c r="S17" s="12"/>
      <c r="T17" s="12"/>
      <c r="U17" s="12"/>
      <c r="V17" s="12"/>
      <c r="W17" s="12"/>
      <c r="X17" s="12"/>
      <c r="Y17" s="12"/>
      <c r="Z17" s="12"/>
      <c r="AA17" s="12"/>
      <c r="AB17" s="12"/>
      <c r="AC17" s="12"/>
      <c r="AD17" s="12"/>
    </row>
    <row r="18" spans="1:30" x14ac:dyDescent="0.3">
      <c r="A18" s="12"/>
      <c r="B18" s="12"/>
      <c r="C18" s="12"/>
      <c r="D18" s="12"/>
      <c r="E18" s="12"/>
      <c r="F18" s="12"/>
      <c r="G18" s="12"/>
      <c r="H18" s="12"/>
      <c r="I18" s="12"/>
      <c r="J18" s="12"/>
      <c r="K18" s="12"/>
      <c r="L18" s="12"/>
      <c r="M18" s="12"/>
      <c r="N18" s="12"/>
      <c r="O18" s="12"/>
      <c r="P18" s="12"/>
      <c r="Q18" s="12"/>
      <c r="R18" s="12"/>
      <c r="S18" s="12"/>
      <c r="T18" s="12"/>
      <c r="U18" s="12"/>
      <c r="V18" s="12"/>
      <c r="W18" s="12"/>
      <c r="X18" s="12"/>
      <c r="Y18" s="12"/>
      <c r="Z18" s="12"/>
      <c r="AA18" s="12"/>
      <c r="AB18" s="12"/>
      <c r="AC18" s="12"/>
      <c r="AD18" s="12"/>
    </row>
    <row r="19" spans="1:30" x14ac:dyDescent="0.3">
      <c r="A19" s="12"/>
      <c r="B19" s="12"/>
      <c r="C19" s="12"/>
      <c r="D19" s="12"/>
      <c r="E19" s="12"/>
      <c r="F19" s="12"/>
      <c r="G19" s="12"/>
      <c r="H19" s="12"/>
      <c r="I19" s="12"/>
      <c r="J19" s="12"/>
      <c r="K19" s="12"/>
      <c r="L19" s="12"/>
      <c r="M19" s="12"/>
      <c r="N19" s="12"/>
      <c r="O19" s="12"/>
      <c r="P19" s="12"/>
      <c r="Q19" s="12"/>
      <c r="R19" s="12"/>
      <c r="S19" s="12"/>
      <c r="T19" s="12"/>
      <c r="U19" s="12"/>
      <c r="V19" s="12"/>
      <c r="W19" s="12"/>
      <c r="X19" s="12"/>
      <c r="Y19" s="12"/>
      <c r="Z19" s="12"/>
      <c r="AA19" s="12"/>
      <c r="AB19" s="12"/>
      <c r="AC19" s="12"/>
      <c r="AD19" s="12"/>
    </row>
    <row r="20" spans="1:30" x14ac:dyDescent="0.3">
      <c r="A20" s="12"/>
      <c r="B20" s="12"/>
      <c r="C20" s="12"/>
      <c r="D20" s="12"/>
      <c r="E20" s="12"/>
      <c r="F20" s="12"/>
      <c r="G20" s="12"/>
      <c r="H20" s="12"/>
      <c r="I20" s="12"/>
      <c r="J20" s="12"/>
      <c r="K20" s="12"/>
      <c r="L20" s="12"/>
      <c r="M20" s="12"/>
      <c r="N20" s="12"/>
      <c r="O20" s="12"/>
      <c r="P20" s="12"/>
      <c r="Q20" s="12"/>
      <c r="R20" s="12"/>
      <c r="S20" s="12"/>
      <c r="T20" s="12"/>
      <c r="U20" s="12"/>
      <c r="V20" s="12"/>
      <c r="W20" s="12"/>
      <c r="X20" s="12"/>
      <c r="Y20" s="12"/>
      <c r="Z20" s="12"/>
      <c r="AA20" s="12"/>
      <c r="AB20" s="12"/>
      <c r="AC20" s="12"/>
      <c r="AD20" s="12"/>
    </row>
    <row r="21" spans="1:30" x14ac:dyDescent="0.3">
      <c r="A21" s="12"/>
      <c r="B21" s="12"/>
      <c r="C21" s="12"/>
      <c r="D21" s="12"/>
      <c r="E21" s="12"/>
      <c r="F21" s="12"/>
      <c r="G21" s="12"/>
      <c r="H21" s="12"/>
      <c r="I21" s="12"/>
      <c r="J21" s="12"/>
      <c r="K21" s="12"/>
      <c r="L21" s="12"/>
      <c r="M21" s="12"/>
      <c r="N21" s="12"/>
      <c r="O21" s="12"/>
      <c r="P21" s="12"/>
      <c r="Q21" s="12"/>
      <c r="R21" s="12"/>
      <c r="S21" s="12"/>
      <c r="T21" s="12"/>
      <c r="U21" s="12"/>
      <c r="V21" s="12"/>
      <c r="W21" s="12"/>
      <c r="X21" s="12"/>
      <c r="Y21" s="12"/>
      <c r="Z21" s="12"/>
      <c r="AA21" s="12"/>
      <c r="AB21" s="12"/>
      <c r="AC21" s="12"/>
      <c r="AD21" s="12"/>
    </row>
    <row r="22" spans="1:30" x14ac:dyDescent="0.3">
      <c r="A22" s="12"/>
      <c r="B22" s="12"/>
      <c r="C22" s="12"/>
      <c r="D22" s="12"/>
      <c r="E22" s="12"/>
      <c r="F22" s="12"/>
      <c r="G22" s="12"/>
      <c r="H22" s="12"/>
      <c r="I22" s="12"/>
      <c r="J22" s="12"/>
      <c r="K22" s="12"/>
      <c r="L22" s="12"/>
      <c r="M22" s="12"/>
      <c r="N22" s="12"/>
      <c r="O22" s="12"/>
      <c r="P22" s="12"/>
      <c r="Q22" s="12"/>
      <c r="R22" s="12"/>
      <c r="S22" s="12"/>
      <c r="T22" s="12"/>
      <c r="U22" s="12"/>
      <c r="V22" s="12"/>
      <c r="W22" s="12"/>
      <c r="X22" s="12"/>
      <c r="Y22" s="12"/>
      <c r="Z22" s="12"/>
      <c r="AA22" s="12"/>
      <c r="AB22" s="12"/>
      <c r="AC22" s="12"/>
      <c r="AD22" s="12"/>
    </row>
    <row r="23" spans="1:30" x14ac:dyDescent="0.3">
      <c r="A23" s="12"/>
      <c r="B23" s="12"/>
      <c r="C23" s="12"/>
      <c r="D23" s="12"/>
      <c r="E23" s="12"/>
      <c r="F23" s="12"/>
      <c r="G23" s="12"/>
      <c r="H23" s="12"/>
      <c r="I23" s="12"/>
      <c r="J23" s="12"/>
      <c r="K23" s="12"/>
      <c r="L23" s="12"/>
      <c r="M23" s="12"/>
      <c r="N23" s="12"/>
      <c r="O23" s="12"/>
      <c r="P23" s="12"/>
      <c r="Q23" s="12"/>
      <c r="R23" s="12"/>
      <c r="S23" s="12"/>
      <c r="T23" s="12"/>
      <c r="U23" s="12"/>
      <c r="V23" s="12"/>
      <c r="W23" s="12"/>
      <c r="X23" s="12"/>
      <c r="Y23" s="12"/>
      <c r="Z23" s="12"/>
      <c r="AA23" s="12"/>
      <c r="AB23" s="12"/>
      <c r="AC23" s="12"/>
      <c r="AD23" s="12"/>
    </row>
    <row r="24" spans="1:30" x14ac:dyDescent="0.3">
      <c r="A24" s="12"/>
      <c r="B24" s="12"/>
      <c r="C24" s="12"/>
      <c r="D24" s="12"/>
      <c r="E24" s="12"/>
      <c r="F24" s="12"/>
      <c r="G24" s="12"/>
      <c r="H24" s="12"/>
      <c r="I24" s="12"/>
      <c r="J24" s="12"/>
      <c r="K24" s="12"/>
      <c r="L24" s="12"/>
      <c r="M24" s="12"/>
      <c r="N24" s="12"/>
      <c r="O24" s="12"/>
      <c r="P24" s="12"/>
      <c r="Q24" s="12"/>
      <c r="R24" s="12"/>
      <c r="S24" s="12"/>
      <c r="T24" s="12"/>
      <c r="U24" s="12"/>
      <c r="V24" s="12"/>
      <c r="W24" s="12"/>
      <c r="X24" s="12"/>
      <c r="Y24" s="12"/>
      <c r="Z24" s="12"/>
      <c r="AA24" s="12"/>
      <c r="AB24" s="12"/>
      <c r="AC24" s="12"/>
      <c r="AD24" s="12"/>
    </row>
    <row r="25" spans="1:30" x14ac:dyDescent="0.3">
      <c r="A25" s="12"/>
      <c r="B25" s="12"/>
      <c r="C25" s="12"/>
      <c r="D25" s="12"/>
      <c r="E25" s="12"/>
      <c r="F25" s="12"/>
      <c r="G25" s="12"/>
      <c r="H25" s="12"/>
      <c r="I25" s="12"/>
      <c r="J25" s="12"/>
      <c r="K25" s="12"/>
      <c r="L25" s="12"/>
      <c r="M25" s="12"/>
      <c r="N25" s="12"/>
      <c r="O25" s="12"/>
      <c r="P25" s="12"/>
      <c r="Q25" s="12"/>
      <c r="R25" s="12"/>
      <c r="S25" s="12"/>
      <c r="T25" s="12"/>
      <c r="U25" s="12"/>
      <c r="V25" s="12"/>
      <c r="W25" s="12"/>
      <c r="X25" s="12"/>
      <c r="Y25" s="12"/>
      <c r="Z25" s="12"/>
      <c r="AA25" s="12"/>
      <c r="AB25" s="12"/>
      <c r="AC25" s="12"/>
      <c r="AD25" s="12"/>
    </row>
    <row r="26" spans="1:30" x14ac:dyDescent="0.3">
      <c r="A26" s="12"/>
      <c r="B26" s="12"/>
      <c r="C26" s="12"/>
      <c r="D26" s="12"/>
      <c r="E26" s="12"/>
      <c r="F26" s="12"/>
      <c r="G26" s="12"/>
      <c r="H26" s="12"/>
      <c r="I26" s="12"/>
      <c r="J26" s="12"/>
      <c r="K26" s="12"/>
      <c r="L26" s="12"/>
      <c r="M26" s="12"/>
      <c r="N26" s="12"/>
      <c r="O26" s="12"/>
      <c r="P26" s="12"/>
      <c r="Q26" s="12"/>
      <c r="R26" s="12"/>
      <c r="S26" s="12"/>
      <c r="T26" s="12"/>
      <c r="U26" s="12"/>
      <c r="V26" s="12"/>
      <c r="W26" s="12"/>
      <c r="X26" s="12"/>
      <c r="Y26" s="12"/>
      <c r="Z26" s="12"/>
      <c r="AA26" s="12"/>
      <c r="AB26" s="12"/>
      <c r="AC26" s="12"/>
      <c r="AD26" s="12"/>
    </row>
    <row r="27" spans="1:30" x14ac:dyDescent="0.3">
      <c r="A27" s="12"/>
      <c r="B27" s="12"/>
      <c r="C27" s="12"/>
      <c r="D27" s="12"/>
      <c r="E27" s="12"/>
      <c r="F27" s="12"/>
      <c r="G27" s="12"/>
      <c r="H27" s="12"/>
      <c r="I27" s="12"/>
      <c r="J27" s="12"/>
      <c r="K27" s="12"/>
      <c r="L27" s="12"/>
      <c r="M27" s="12"/>
      <c r="N27" s="12"/>
      <c r="O27" s="12"/>
      <c r="P27" s="12"/>
      <c r="Q27" s="12"/>
      <c r="R27" s="12"/>
      <c r="S27" s="12"/>
      <c r="T27" s="12"/>
      <c r="U27" s="12"/>
      <c r="V27" s="12"/>
      <c r="W27" s="12"/>
      <c r="X27" s="12"/>
      <c r="Y27" s="12"/>
      <c r="Z27" s="12"/>
      <c r="AA27" s="12"/>
      <c r="AB27" s="12"/>
      <c r="AC27" s="12"/>
      <c r="AD27" s="12"/>
    </row>
    <row r="28" spans="1:30" x14ac:dyDescent="0.3">
      <c r="A28" s="12"/>
      <c r="B28" s="12"/>
      <c r="C28" s="12"/>
      <c r="D28" s="12"/>
      <c r="E28" s="12"/>
      <c r="F28" s="12"/>
      <c r="G28" s="12"/>
      <c r="H28" s="12"/>
      <c r="I28" s="12"/>
      <c r="J28" s="12"/>
      <c r="K28" s="12"/>
      <c r="L28" s="12"/>
      <c r="M28" s="12"/>
      <c r="N28" s="12"/>
      <c r="O28" s="12"/>
      <c r="P28" s="12"/>
      <c r="Q28" s="12"/>
      <c r="R28" s="12"/>
      <c r="S28" s="12"/>
      <c r="T28" s="12"/>
      <c r="U28" s="12"/>
      <c r="V28" s="12"/>
      <c r="W28" s="12"/>
      <c r="X28" s="12"/>
      <c r="Y28" s="12"/>
      <c r="Z28" s="12"/>
      <c r="AA28" s="12"/>
      <c r="AB28" s="12"/>
      <c r="AC28" s="12"/>
      <c r="AD28" s="12"/>
    </row>
    <row r="29" spans="1:30" x14ac:dyDescent="0.3">
      <c r="A29" s="12"/>
      <c r="B29" s="12"/>
      <c r="C29" s="12"/>
      <c r="D29" s="12"/>
      <c r="E29" s="12"/>
      <c r="F29" s="12"/>
      <c r="G29" s="12"/>
      <c r="H29" s="12"/>
      <c r="I29" s="12"/>
      <c r="J29" s="12"/>
      <c r="K29" s="12"/>
      <c r="L29" s="12"/>
      <c r="M29" s="12"/>
      <c r="N29" s="12"/>
      <c r="O29" s="12"/>
      <c r="P29" s="12"/>
      <c r="Q29" s="12"/>
      <c r="R29" s="12"/>
      <c r="S29" s="12"/>
      <c r="T29" s="12"/>
      <c r="U29" s="12"/>
      <c r="V29" s="12"/>
      <c r="W29" s="12"/>
      <c r="X29" s="12"/>
      <c r="Y29" s="12"/>
      <c r="Z29" s="12"/>
      <c r="AA29" s="12"/>
      <c r="AB29" s="12"/>
      <c r="AC29" s="12"/>
      <c r="AD29" s="12"/>
    </row>
    <row r="30" spans="1:30" x14ac:dyDescent="0.3">
      <c r="A30" s="12"/>
      <c r="B30" s="12"/>
      <c r="C30" s="12"/>
      <c r="D30" s="12"/>
      <c r="E30" s="12"/>
      <c r="F30" s="12"/>
      <c r="G30" s="12"/>
      <c r="H30" s="12"/>
      <c r="I30" s="12"/>
      <c r="J30" s="12"/>
      <c r="K30" s="12"/>
      <c r="L30" s="12"/>
      <c r="M30" s="12"/>
      <c r="N30" s="12"/>
      <c r="O30" s="12"/>
      <c r="P30" s="12"/>
      <c r="Q30" s="12"/>
      <c r="R30" s="12"/>
      <c r="S30" s="12"/>
      <c r="T30" s="12"/>
      <c r="U30" s="12"/>
      <c r="V30" s="12"/>
      <c r="W30" s="12"/>
      <c r="X30" s="12"/>
      <c r="Y30" s="12"/>
      <c r="Z30" s="12"/>
      <c r="AA30" s="12"/>
      <c r="AB30" s="12"/>
      <c r="AC30" s="12"/>
      <c r="AD30" s="12"/>
    </row>
    <row r="31" spans="1:30" x14ac:dyDescent="0.3">
      <c r="A31" s="12"/>
      <c r="B31" s="12"/>
      <c r="C31" s="12"/>
      <c r="D31" s="12"/>
      <c r="E31" s="12"/>
      <c r="F31" s="12"/>
      <c r="G31" s="12"/>
      <c r="H31" s="12"/>
      <c r="I31" s="12"/>
      <c r="J31" s="12"/>
      <c r="K31" s="12"/>
      <c r="L31" s="12"/>
      <c r="M31" s="12"/>
      <c r="N31" s="12"/>
      <c r="O31" s="12"/>
      <c r="P31" s="12"/>
      <c r="Q31" s="12"/>
      <c r="R31" s="12"/>
      <c r="S31" s="12"/>
      <c r="T31" s="12"/>
      <c r="U31" s="12"/>
      <c r="V31" s="12"/>
      <c r="W31" s="12"/>
      <c r="X31" s="12"/>
      <c r="Y31" s="12"/>
      <c r="Z31" s="12"/>
      <c r="AA31" s="12"/>
      <c r="AB31" s="12"/>
      <c r="AC31" s="12"/>
      <c r="AD31" s="12"/>
    </row>
    <row r="32" spans="1:30" x14ac:dyDescent="0.3">
      <c r="A32" s="12"/>
      <c r="B32" s="12"/>
      <c r="C32" s="12"/>
      <c r="D32" s="12"/>
      <c r="E32" s="12"/>
      <c r="F32" s="12"/>
      <c r="G32" s="12"/>
      <c r="H32" s="12"/>
      <c r="I32" s="12"/>
      <c r="J32" s="12"/>
      <c r="K32" s="12"/>
      <c r="L32" s="12"/>
      <c r="M32" s="12"/>
      <c r="N32" s="12"/>
      <c r="O32" s="12"/>
      <c r="P32" s="12"/>
      <c r="Q32" s="12"/>
      <c r="R32" s="12"/>
      <c r="S32" s="12"/>
      <c r="T32" s="12"/>
      <c r="U32" s="12"/>
      <c r="V32" s="12"/>
      <c r="W32" s="12"/>
      <c r="X32" s="12"/>
      <c r="Y32" s="12"/>
      <c r="Z32" s="12"/>
      <c r="AA32" s="12"/>
      <c r="AB32" s="12"/>
      <c r="AC32" s="12"/>
      <c r="AD32" s="12"/>
    </row>
    <row r="33" spans="1:30" x14ac:dyDescent="0.3">
      <c r="A33" s="12"/>
      <c r="B33" s="12"/>
      <c r="C33" s="12"/>
      <c r="D33" s="12"/>
      <c r="E33" s="12"/>
      <c r="F33" s="12"/>
      <c r="G33" s="12"/>
      <c r="H33" s="12"/>
      <c r="I33" s="12"/>
      <c r="J33" s="12"/>
      <c r="K33" s="12"/>
      <c r="L33" s="12"/>
      <c r="M33" s="12"/>
      <c r="N33" s="12"/>
      <c r="O33" s="12"/>
      <c r="P33" s="12"/>
      <c r="Q33" s="12"/>
      <c r="R33" s="12"/>
      <c r="S33" s="12"/>
      <c r="T33" s="12"/>
      <c r="U33" s="12"/>
      <c r="V33" s="12"/>
      <c r="W33" s="12"/>
      <c r="X33" s="12"/>
      <c r="Y33" s="12"/>
      <c r="Z33" s="12"/>
      <c r="AA33" s="12"/>
      <c r="AB33" s="12"/>
      <c r="AC33" s="12"/>
      <c r="AD33" s="12"/>
    </row>
    <row r="34" spans="1:30" x14ac:dyDescent="0.3">
      <c r="A34" s="12"/>
      <c r="B34" s="12"/>
      <c r="C34" s="12"/>
      <c r="D34" s="12"/>
      <c r="E34" s="12"/>
      <c r="F34" s="12"/>
      <c r="G34" s="12"/>
      <c r="H34" s="12"/>
      <c r="I34" s="12"/>
      <c r="J34" s="12"/>
      <c r="K34" s="12"/>
      <c r="L34" s="12"/>
      <c r="M34" s="12"/>
      <c r="N34" s="12"/>
      <c r="O34" s="12"/>
      <c r="P34" s="12"/>
      <c r="Q34" s="12"/>
      <c r="R34" s="12"/>
      <c r="S34" s="12"/>
      <c r="T34" s="12"/>
      <c r="U34" s="12"/>
      <c r="V34" s="12"/>
      <c r="W34" s="12"/>
      <c r="X34" s="12"/>
      <c r="Y34" s="12"/>
      <c r="Z34" s="12"/>
      <c r="AA34" s="12"/>
      <c r="AB34" s="12"/>
      <c r="AC34" s="12"/>
      <c r="AD34" s="12"/>
    </row>
    <row r="35" spans="1:30" x14ac:dyDescent="0.3">
      <c r="A35" s="12"/>
      <c r="B35" s="12"/>
      <c r="C35" s="12"/>
      <c r="D35" s="12"/>
      <c r="E35" s="12"/>
      <c r="F35" s="12"/>
      <c r="G35" s="12"/>
      <c r="H35" s="12"/>
      <c r="I35" s="12"/>
      <c r="J35" s="12"/>
      <c r="K35" s="12"/>
      <c r="L35" s="12"/>
      <c r="M35" s="12"/>
      <c r="N35" s="12"/>
      <c r="O35" s="12"/>
      <c r="P35" s="12"/>
      <c r="Q35" s="12"/>
      <c r="R35" s="12"/>
      <c r="S35" s="12"/>
      <c r="T35" s="12"/>
      <c r="U35" s="12"/>
      <c r="V35" s="12"/>
      <c r="W35" s="12"/>
      <c r="X35" s="12"/>
      <c r="Y35" s="12"/>
      <c r="Z35" s="12"/>
      <c r="AA35" s="12"/>
      <c r="AB35" s="12"/>
      <c r="AC35" s="12"/>
      <c r="AD35" s="12"/>
    </row>
    <row r="36" spans="1:30" x14ac:dyDescent="0.3">
      <c r="A36" s="12"/>
      <c r="B36" s="12"/>
      <c r="C36" s="12"/>
      <c r="D36" s="12"/>
      <c r="E36" s="12"/>
      <c r="F36" s="12"/>
      <c r="G36" s="12"/>
      <c r="H36" s="12"/>
      <c r="I36" s="12"/>
      <c r="J36" s="12"/>
      <c r="K36" s="12"/>
      <c r="L36" s="12"/>
      <c r="M36" s="12"/>
      <c r="N36" s="12"/>
      <c r="O36" s="12"/>
      <c r="P36" s="12"/>
      <c r="Q36" s="12"/>
      <c r="R36" s="12"/>
      <c r="S36" s="12"/>
      <c r="T36" s="12"/>
      <c r="U36" s="12"/>
      <c r="V36" s="12"/>
      <c r="W36" s="12"/>
      <c r="X36" s="12"/>
      <c r="Y36" s="12"/>
      <c r="Z36" s="12"/>
      <c r="AA36" s="12"/>
      <c r="AB36" s="12"/>
      <c r="AC36" s="12"/>
      <c r="AD36" s="12"/>
    </row>
    <row r="37" spans="1:30" x14ac:dyDescent="0.3">
      <c r="A37" s="12"/>
      <c r="B37" s="12"/>
      <c r="C37" s="12"/>
      <c r="D37" s="12"/>
      <c r="E37" s="12"/>
      <c r="F37" s="12"/>
      <c r="G37" s="12"/>
      <c r="H37" s="12"/>
      <c r="I37" s="12"/>
      <c r="J37" s="12"/>
      <c r="K37" s="12"/>
      <c r="L37" s="12"/>
      <c r="M37" s="12"/>
      <c r="N37" s="12"/>
      <c r="O37" s="12"/>
      <c r="P37" s="12"/>
      <c r="Q37" s="12"/>
      <c r="R37" s="12"/>
      <c r="S37" s="12"/>
      <c r="T37" s="12"/>
      <c r="U37" s="12"/>
      <c r="V37" s="12"/>
      <c r="W37" s="12"/>
      <c r="X37" s="12"/>
      <c r="Y37" s="12"/>
      <c r="Z37" s="12"/>
      <c r="AA37" s="12"/>
      <c r="AB37" s="12"/>
      <c r="AC37" s="12"/>
      <c r="AD37" s="12"/>
    </row>
    <row r="38" spans="1:30" x14ac:dyDescent="0.3">
      <c r="A38" s="12"/>
      <c r="B38" s="12"/>
      <c r="C38" s="12"/>
      <c r="D38" s="12"/>
      <c r="E38" s="12"/>
      <c r="F38" s="12"/>
      <c r="G38" s="12"/>
      <c r="H38" s="12"/>
      <c r="I38" s="12"/>
      <c r="J38" s="12"/>
      <c r="K38" s="12"/>
      <c r="L38" s="12"/>
      <c r="M38" s="12"/>
      <c r="N38" s="12"/>
      <c r="O38" s="12"/>
      <c r="P38" s="12"/>
      <c r="Q38" s="12"/>
      <c r="R38" s="12"/>
      <c r="S38" s="12"/>
      <c r="T38" s="12"/>
      <c r="U38" s="12"/>
      <c r="V38" s="12"/>
      <c r="W38" s="12"/>
      <c r="X38" s="12"/>
      <c r="Y38" s="12"/>
      <c r="Z38" s="12"/>
      <c r="AA38" s="12"/>
      <c r="AB38" s="12"/>
      <c r="AC38" s="12"/>
      <c r="AD38" s="12"/>
    </row>
    <row r="39" spans="1:30" x14ac:dyDescent="0.3">
      <c r="A39" s="12"/>
      <c r="B39" s="12"/>
      <c r="C39" s="12"/>
      <c r="D39" s="12"/>
      <c r="E39" s="12"/>
      <c r="F39" s="12"/>
      <c r="G39" s="12"/>
      <c r="H39" s="12"/>
      <c r="I39" s="12"/>
      <c r="J39" s="12"/>
      <c r="K39" s="12"/>
      <c r="L39" s="12"/>
      <c r="M39" s="12"/>
      <c r="N39" s="12"/>
      <c r="O39" s="12"/>
      <c r="P39" s="12"/>
      <c r="Q39" s="12"/>
      <c r="R39" s="12"/>
      <c r="S39" s="12"/>
      <c r="T39" s="12"/>
      <c r="U39" s="12"/>
      <c r="V39" s="12"/>
      <c r="W39" s="12"/>
      <c r="X39" s="12"/>
      <c r="Y39" s="12"/>
      <c r="Z39" s="12"/>
      <c r="AA39" s="12"/>
      <c r="AB39" s="12"/>
      <c r="AC39" s="12"/>
      <c r="AD39" s="12"/>
    </row>
    <row r="40" spans="1:30" x14ac:dyDescent="0.3">
      <c r="A40" s="12"/>
      <c r="B40" s="12"/>
      <c r="C40" s="12"/>
      <c r="D40" s="12"/>
      <c r="E40" s="12"/>
      <c r="F40" s="12"/>
      <c r="G40" s="12"/>
      <c r="H40" s="12"/>
      <c r="I40" s="12"/>
      <c r="J40" s="12"/>
      <c r="K40" s="12"/>
      <c r="L40" s="12"/>
      <c r="M40" s="12"/>
      <c r="N40" s="12"/>
      <c r="O40" s="12"/>
      <c r="P40" s="12"/>
      <c r="Q40" s="12"/>
      <c r="R40" s="12"/>
      <c r="S40" s="12"/>
      <c r="T40" s="12"/>
      <c r="U40" s="12"/>
      <c r="V40" s="12"/>
      <c r="W40" s="12"/>
      <c r="X40" s="12"/>
      <c r="Y40" s="12"/>
      <c r="Z40" s="12"/>
      <c r="AA40" s="12"/>
      <c r="AB40" s="12"/>
      <c r="AC40" s="12"/>
      <c r="AD40" s="12"/>
    </row>
    <row r="41" spans="1:30" x14ac:dyDescent="0.3">
      <c r="A41" s="12"/>
      <c r="B41" s="12"/>
      <c r="C41" s="12"/>
      <c r="D41" s="12"/>
      <c r="E41" s="12"/>
      <c r="F41" s="12"/>
      <c r="G41" s="12"/>
      <c r="H41" s="12"/>
      <c r="I41" s="12"/>
      <c r="J41" s="12"/>
      <c r="K41" s="12"/>
      <c r="L41" s="12"/>
      <c r="M41" s="12"/>
      <c r="N41" s="12"/>
      <c r="O41" s="12"/>
      <c r="P41" s="12"/>
      <c r="Q41" s="12"/>
      <c r="R41" s="12"/>
      <c r="S41" s="12"/>
      <c r="T41" s="12"/>
      <c r="U41" s="12"/>
      <c r="V41" s="12"/>
      <c r="W41" s="12"/>
      <c r="X41" s="12"/>
      <c r="Y41" s="12"/>
      <c r="Z41" s="12"/>
      <c r="AA41" s="12"/>
      <c r="AB41" s="12"/>
      <c r="AC41" s="12"/>
      <c r="AD41" s="12"/>
    </row>
    <row r="42" spans="1:30" x14ac:dyDescent="0.3">
      <c r="A42" s="12"/>
      <c r="B42" s="12"/>
      <c r="C42" s="12"/>
      <c r="D42" s="12"/>
      <c r="E42" s="12"/>
      <c r="F42" s="12"/>
      <c r="G42" s="12"/>
      <c r="H42" s="12"/>
      <c r="I42" s="12"/>
      <c r="J42" s="12"/>
      <c r="K42" s="12"/>
      <c r="L42" s="12"/>
      <c r="M42" s="12"/>
      <c r="N42" s="12"/>
      <c r="O42" s="12"/>
      <c r="P42" s="12"/>
      <c r="Q42" s="12"/>
      <c r="R42" s="12"/>
      <c r="S42" s="12"/>
      <c r="T42" s="12"/>
      <c r="U42" s="12"/>
      <c r="V42" s="12"/>
      <c r="W42" s="12"/>
      <c r="X42" s="12"/>
      <c r="Y42" s="12"/>
      <c r="Z42" s="12"/>
      <c r="AA42" s="12"/>
      <c r="AB42" s="12"/>
      <c r="AC42" s="12"/>
      <c r="AD42" s="12"/>
    </row>
    <row r="43" spans="1:30" x14ac:dyDescent="0.3">
      <c r="A43" s="12"/>
      <c r="B43" s="12"/>
      <c r="C43" s="12"/>
      <c r="D43" s="12"/>
      <c r="E43" s="12"/>
      <c r="F43" s="12"/>
      <c r="G43" s="12"/>
      <c r="H43" s="12"/>
      <c r="I43" s="12"/>
      <c r="J43" s="12"/>
      <c r="K43" s="12"/>
      <c r="L43" s="12"/>
      <c r="M43" s="12"/>
      <c r="N43" s="12"/>
      <c r="O43" s="12"/>
      <c r="P43" s="12"/>
      <c r="Q43" s="12"/>
      <c r="R43" s="12"/>
      <c r="S43" s="12"/>
      <c r="T43" s="12"/>
      <c r="U43" s="12"/>
      <c r="V43" s="12"/>
      <c r="W43" s="12"/>
      <c r="X43" s="12"/>
      <c r="Y43" s="12"/>
      <c r="Z43" s="12"/>
      <c r="AA43" s="12"/>
      <c r="AB43" s="12"/>
      <c r="AC43" s="12"/>
      <c r="AD43" s="12"/>
    </row>
    <row r="44" spans="1:30" x14ac:dyDescent="0.3">
      <c r="A44" s="12"/>
      <c r="B44" s="12"/>
      <c r="C44" s="12"/>
      <c r="D44" s="12"/>
      <c r="E44" s="12"/>
      <c r="F44" s="12"/>
      <c r="G44" s="12"/>
      <c r="H44" s="12"/>
      <c r="I44" s="12"/>
      <c r="J44" s="12"/>
      <c r="K44" s="12"/>
      <c r="L44" s="12"/>
      <c r="M44" s="12"/>
      <c r="N44" s="12"/>
      <c r="O44" s="12"/>
      <c r="P44" s="12"/>
      <c r="Q44" s="12"/>
      <c r="R44" s="12"/>
      <c r="S44" s="12"/>
      <c r="T44" s="12"/>
      <c r="U44" s="12"/>
      <c r="V44" s="12"/>
      <c r="W44" s="12"/>
      <c r="X44" s="12"/>
      <c r="Y44" s="12"/>
      <c r="Z44" s="12"/>
      <c r="AA44" s="12"/>
      <c r="AB44" s="12"/>
      <c r="AC44" s="12"/>
      <c r="AD44" s="12"/>
    </row>
    <row r="45" spans="1:30" x14ac:dyDescent="0.3">
      <c r="A45" s="12"/>
      <c r="B45" s="12"/>
      <c r="C45" s="12"/>
      <c r="D45" s="12"/>
      <c r="E45" s="12"/>
      <c r="F45" s="12"/>
      <c r="G45" s="12"/>
      <c r="H45" s="12"/>
      <c r="I45" s="12"/>
      <c r="J45" s="12"/>
      <c r="K45" s="12"/>
      <c r="L45" s="12"/>
      <c r="M45" s="12"/>
      <c r="N45" s="12"/>
      <c r="O45" s="12"/>
      <c r="P45" s="12"/>
      <c r="Q45" s="12"/>
      <c r="R45" s="12"/>
      <c r="S45" s="12"/>
      <c r="T45" s="12"/>
      <c r="U45" s="12"/>
      <c r="V45" s="12"/>
      <c r="W45" s="12"/>
      <c r="X45" s="12"/>
      <c r="Y45" s="12"/>
      <c r="Z45" s="12"/>
      <c r="AA45" s="12"/>
      <c r="AB45" s="12"/>
      <c r="AC45" s="12"/>
      <c r="AD45" s="12"/>
    </row>
  </sheetData>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B142C7-B0F1-484D-8915-2C6BEDB32AB2}">
  <dimension ref="A1:AD45"/>
  <sheetViews>
    <sheetView showGridLines="0" zoomScale="80" zoomScaleNormal="80" workbookViewId="0">
      <selection activeCell="C27" sqref="C27"/>
    </sheetView>
  </sheetViews>
  <sheetFormatPr defaultRowHeight="14.4" x14ac:dyDescent="0.3"/>
  <cols>
    <col min="30" max="30" width="5.109375" customWidth="1"/>
  </cols>
  <sheetData>
    <row r="1" spans="1:30" x14ac:dyDescent="0.3">
      <c r="A1" s="13"/>
      <c r="B1" s="13"/>
      <c r="C1" s="13"/>
      <c r="D1" s="13"/>
      <c r="E1" s="13"/>
      <c r="F1" s="13"/>
      <c r="G1" s="13"/>
      <c r="H1" s="13"/>
      <c r="I1" s="13"/>
      <c r="J1" s="13"/>
      <c r="K1" s="13"/>
      <c r="L1" s="13"/>
      <c r="M1" s="13"/>
      <c r="N1" s="13"/>
      <c r="O1" s="13"/>
      <c r="P1" s="13"/>
      <c r="Q1" s="13"/>
      <c r="R1" s="13"/>
      <c r="S1" s="13"/>
      <c r="T1" s="13"/>
      <c r="U1" s="13"/>
      <c r="V1" s="13"/>
      <c r="W1" s="13"/>
      <c r="X1" s="13"/>
      <c r="Y1" s="13"/>
      <c r="Z1" s="13"/>
      <c r="AA1" s="13"/>
      <c r="AB1" s="13"/>
      <c r="AC1" s="13"/>
      <c r="AD1" s="13"/>
    </row>
    <row r="2" spans="1:30" x14ac:dyDescent="0.3">
      <c r="A2" s="13"/>
      <c r="B2" s="13"/>
      <c r="C2" s="13"/>
      <c r="D2" s="13"/>
      <c r="E2" s="13"/>
      <c r="F2" s="13"/>
      <c r="G2" s="13"/>
      <c r="H2" s="13"/>
      <c r="I2" s="13"/>
      <c r="J2" s="13"/>
      <c r="K2" s="13"/>
      <c r="L2" s="13"/>
      <c r="M2" s="13"/>
      <c r="N2" s="13"/>
      <c r="O2" s="13"/>
      <c r="P2" s="13"/>
      <c r="Q2" s="13"/>
      <c r="R2" s="13"/>
      <c r="S2" s="13"/>
      <c r="T2" s="13"/>
      <c r="U2" s="13"/>
      <c r="V2" s="13"/>
      <c r="W2" s="13"/>
      <c r="X2" s="13"/>
      <c r="Y2" s="13"/>
      <c r="Z2" s="13"/>
      <c r="AA2" s="13"/>
      <c r="AB2" s="13"/>
      <c r="AC2" s="13"/>
      <c r="AD2" s="13"/>
    </row>
    <row r="3" spans="1:30" x14ac:dyDescent="0.3">
      <c r="A3" s="13"/>
      <c r="B3" s="13"/>
      <c r="C3" s="13"/>
      <c r="D3" s="13"/>
      <c r="E3" s="13"/>
      <c r="F3" s="13"/>
      <c r="G3" s="13"/>
      <c r="H3" s="13"/>
      <c r="I3" s="13"/>
      <c r="J3" s="13"/>
      <c r="K3" s="13"/>
      <c r="L3" s="13"/>
      <c r="M3" s="13"/>
      <c r="N3" s="13"/>
      <c r="O3" s="13"/>
      <c r="P3" s="13"/>
      <c r="Q3" s="13"/>
      <c r="R3" s="13"/>
      <c r="S3" s="13"/>
      <c r="T3" s="13"/>
      <c r="U3" s="13"/>
      <c r="V3" s="13"/>
      <c r="W3" s="13"/>
      <c r="X3" s="13"/>
      <c r="Y3" s="13"/>
      <c r="Z3" s="13"/>
      <c r="AA3" s="13"/>
      <c r="AB3" s="13"/>
      <c r="AC3" s="13"/>
      <c r="AD3" s="13"/>
    </row>
    <row r="4" spans="1:30" x14ac:dyDescent="0.3">
      <c r="A4" s="13"/>
      <c r="B4" s="13"/>
      <c r="C4" s="13"/>
      <c r="D4" s="13"/>
      <c r="E4" s="13"/>
      <c r="F4" s="13"/>
      <c r="G4" s="13"/>
      <c r="H4" s="13"/>
      <c r="I4" s="13"/>
      <c r="J4" s="13"/>
      <c r="K4" s="13"/>
      <c r="L4" s="13"/>
      <c r="M4" s="13"/>
      <c r="N4" s="13"/>
      <c r="O4" s="13"/>
      <c r="P4" s="13"/>
      <c r="Q4" s="13"/>
      <c r="R4" s="13"/>
      <c r="S4" s="13"/>
      <c r="T4" s="13"/>
      <c r="U4" s="13"/>
      <c r="V4" s="13"/>
      <c r="W4" s="13"/>
      <c r="X4" s="13"/>
      <c r="Y4" s="13"/>
      <c r="Z4" s="13"/>
      <c r="AA4" s="13"/>
      <c r="AB4" s="13"/>
      <c r="AC4" s="13"/>
      <c r="AD4" s="13"/>
    </row>
    <row r="5" spans="1:30" x14ac:dyDescent="0.3">
      <c r="A5" s="13"/>
      <c r="B5" s="13"/>
      <c r="C5" s="13"/>
      <c r="D5" s="13"/>
      <c r="E5" s="13"/>
      <c r="F5" s="13"/>
      <c r="G5" s="13"/>
      <c r="H5" s="13"/>
      <c r="I5" s="13"/>
      <c r="J5" s="13"/>
      <c r="K5" s="13"/>
      <c r="L5" s="13"/>
      <c r="M5" s="13"/>
      <c r="N5" s="13"/>
      <c r="O5" s="13"/>
      <c r="P5" s="13"/>
      <c r="Q5" s="13"/>
      <c r="R5" s="13"/>
      <c r="S5" s="13"/>
      <c r="T5" s="13"/>
      <c r="U5" s="13"/>
      <c r="V5" s="13"/>
      <c r="W5" s="13"/>
      <c r="X5" s="13"/>
      <c r="Y5" s="13"/>
      <c r="Z5" s="13"/>
      <c r="AA5" s="13"/>
      <c r="AB5" s="13"/>
      <c r="AC5" s="13"/>
      <c r="AD5" s="13"/>
    </row>
    <row r="6" spans="1:30" x14ac:dyDescent="0.3">
      <c r="A6" s="13"/>
      <c r="B6" s="13"/>
      <c r="C6" s="13"/>
      <c r="D6" s="13"/>
      <c r="E6" s="13"/>
      <c r="F6" s="13"/>
      <c r="G6" s="13"/>
      <c r="H6" s="13"/>
      <c r="I6" s="13"/>
      <c r="J6" s="13"/>
      <c r="K6" s="13"/>
      <c r="L6" s="13"/>
      <c r="M6" s="13"/>
      <c r="N6" s="13"/>
      <c r="O6" s="13"/>
      <c r="P6" s="13"/>
      <c r="Q6" s="13"/>
      <c r="R6" s="13"/>
      <c r="S6" s="13"/>
      <c r="T6" s="13"/>
      <c r="U6" s="13"/>
      <c r="V6" s="13"/>
      <c r="W6" s="13"/>
      <c r="X6" s="13"/>
      <c r="Y6" s="13"/>
      <c r="Z6" s="13"/>
      <c r="AA6" s="13"/>
      <c r="AB6" s="13"/>
      <c r="AC6" s="13"/>
      <c r="AD6" s="13"/>
    </row>
    <row r="7" spans="1:30" x14ac:dyDescent="0.3">
      <c r="A7" s="13"/>
      <c r="B7" s="13"/>
      <c r="C7" s="13"/>
      <c r="D7" s="13"/>
      <c r="E7" s="13"/>
      <c r="F7" s="13"/>
      <c r="G7" s="13"/>
      <c r="H7" s="13"/>
      <c r="I7" s="13"/>
      <c r="J7" s="13"/>
      <c r="K7" s="13"/>
      <c r="L7" s="13"/>
      <c r="M7" s="13"/>
      <c r="N7" s="13"/>
      <c r="O7" s="13"/>
      <c r="P7" s="13"/>
      <c r="Q7" s="13"/>
      <c r="R7" s="13"/>
      <c r="S7" s="13"/>
      <c r="T7" s="13"/>
      <c r="U7" s="13"/>
      <c r="V7" s="13"/>
      <c r="W7" s="13"/>
      <c r="X7" s="13"/>
      <c r="Y7" s="13"/>
      <c r="Z7" s="13"/>
      <c r="AA7" s="13"/>
      <c r="AB7" s="13"/>
      <c r="AC7" s="13"/>
      <c r="AD7" s="13"/>
    </row>
    <row r="8" spans="1:30" x14ac:dyDescent="0.3">
      <c r="A8" s="13"/>
      <c r="B8" s="13"/>
      <c r="C8" s="13"/>
      <c r="D8" s="13"/>
      <c r="E8" s="13"/>
      <c r="F8" s="13"/>
      <c r="G8" s="13"/>
      <c r="H8" s="13"/>
      <c r="I8" s="13"/>
      <c r="J8" s="13"/>
      <c r="K8" s="13"/>
      <c r="L8" s="13"/>
      <c r="M8" s="13"/>
      <c r="N8" s="13"/>
      <c r="O8" s="13"/>
      <c r="P8" s="13"/>
      <c r="Q8" s="13"/>
      <c r="R8" s="13"/>
      <c r="S8" s="13"/>
      <c r="T8" s="13"/>
      <c r="U8" s="13"/>
      <c r="V8" s="13"/>
      <c r="W8" s="13"/>
      <c r="X8" s="13"/>
      <c r="Y8" s="13"/>
      <c r="Z8" s="13"/>
      <c r="AA8" s="13"/>
      <c r="AB8" s="13"/>
      <c r="AC8" s="13"/>
      <c r="AD8" s="13"/>
    </row>
    <row r="9" spans="1:30" x14ac:dyDescent="0.3">
      <c r="A9" s="13"/>
      <c r="B9" s="13"/>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row>
    <row r="10" spans="1:30" x14ac:dyDescent="0.3">
      <c r="A10" s="13"/>
      <c r="B10" s="13"/>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row>
    <row r="11" spans="1:30" x14ac:dyDescent="0.3">
      <c r="A11" s="13"/>
      <c r="B11" s="13"/>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row>
    <row r="12" spans="1:30" x14ac:dyDescent="0.3">
      <c r="A12" s="13"/>
      <c r="B12" s="13"/>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row>
    <row r="13" spans="1:30" x14ac:dyDescent="0.3">
      <c r="A13" s="13"/>
      <c r="B13" s="13"/>
      <c r="C13" s="13"/>
      <c r="D13" s="13"/>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row>
    <row r="14" spans="1:30" x14ac:dyDescent="0.3">
      <c r="A14" s="13"/>
      <c r="B14" s="13"/>
      <c r="C14" s="13"/>
      <c r="D14" s="13"/>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row>
    <row r="15" spans="1:30" x14ac:dyDescent="0.3">
      <c r="A15" s="13"/>
      <c r="B15" s="13"/>
      <c r="C15" s="13"/>
      <c r="D15" s="13"/>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row>
    <row r="16" spans="1:30" x14ac:dyDescent="0.3">
      <c r="A16" s="13"/>
      <c r="B16" s="13"/>
      <c r="C16" s="13"/>
      <c r="D16" s="13"/>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row>
    <row r="17" spans="1:30" x14ac:dyDescent="0.3">
      <c r="A17" s="13"/>
      <c r="B17" s="13"/>
      <c r="C17" s="13"/>
      <c r="D17" s="13"/>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row>
    <row r="18" spans="1:30" x14ac:dyDescent="0.3">
      <c r="A18" s="13"/>
      <c r="B18" s="13"/>
      <c r="C18" s="13"/>
      <c r="D18" s="13"/>
      <c r="E18" s="13"/>
      <c r="F18" s="13"/>
      <c r="G18" s="13"/>
      <c r="H18" s="13"/>
      <c r="I18" s="13"/>
      <c r="J18" s="13"/>
      <c r="K18" s="13"/>
      <c r="L18" s="13"/>
      <c r="M18" s="13"/>
      <c r="N18" s="13"/>
      <c r="O18" s="13"/>
      <c r="P18" s="13"/>
      <c r="Q18" s="13"/>
      <c r="R18" s="13"/>
      <c r="S18" s="13"/>
      <c r="T18" s="13"/>
      <c r="U18" s="13"/>
      <c r="V18" s="13"/>
      <c r="W18" s="13"/>
      <c r="X18" s="13"/>
      <c r="Y18" s="13"/>
      <c r="Z18" s="13"/>
      <c r="AA18" s="13"/>
      <c r="AB18" s="13"/>
      <c r="AC18" s="13"/>
      <c r="AD18" s="13"/>
    </row>
    <row r="19" spans="1:30" x14ac:dyDescent="0.3">
      <c r="A19" s="13"/>
      <c r="B19" s="13"/>
      <c r="C19" s="13"/>
      <c r="D19" s="13"/>
      <c r="E19" s="13"/>
      <c r="F19" s="13"/>
      <c r="G19" s="13"/>
      <c r="H19" s="13"/>
      <c r="I19" s="13"/>
      <c r="J19" s="13"/>
      <c r="K19" s="13"/>
      <c r="L19" s="13"/>
      <c r="M19" s="13"/>
      <c r="N19" s="13"/>
      <c r="O19" s="13"/>
      <c r="P19" s="13"/>
      <c r="Q19" s="13"/>
      <c r="R19" s="13"/>
      <c r="S19" s="13"/>
      <c r="T19" s="13"/>
      <c r="U19" s="13"/>
      <c r="V19" s="13"/>
      <c r="W19" s="13"/>
      <c r="X19" s="13"/>
      <c r="Y19" s="13"/>
      <c r="Z19" s="13"/>
      <c r="AA19" s="13"/>
      <c r="AB19" s="13"/>
      <c r="AC19" s="13"/>
      <c r="AD19" s="13"/>
    </row>
    <row r="20" spans="1:30" x14ac:dyDescent="0.3">
      <c r="A20" s="13"/>
      <c r="B20" s="13"/>
      <c r="C20" s="13"/>
      <c r="D20" s="13"/>
      <c r="E20" s="13"/>
      <c r="F20" s="13"/>
      <c r="G20" s="13"/>
      <c r="H20" s="13"/>
      <c r="I20" s="13"/>
      <c r="J20" s="13"/>
      <c r="K20" s="13"/>
      <c r="L20" s="13"/>
      <c r="M20" s="13"/>
      <c r="N20" s="13"/>
      <c r="O20" s="13"/>
      <c r="P20" s="13"/>
      <c r="Q20" s="13"/>
      <c r="R20" s="13"/>
      <c r="S20" s="13"/>
      <c r="T20" s="13"/>
      <c r="U20" s="13"/>
      <c r="V20" s="13"/>
      <c r="W20" s="13"/>
      <c r="X20" s="13"/>
      <c r="Y20" s="13"/>
      <c r="Z20" s="13"/>
      <c r="AA20" s="13"/>
      <c r="AB20" s="13"/>
      <c r="AC20" s="13"/>
      <c r="AD20" s="13"/>
    </row>
    <row r="21" spans="1:30" x14ac:dyDescent="0.3">
      <c r="A21" s="13"/>
      <c r="B21" s="13"/>
      <c r="C21" s="13"/>
      <c r="D21" s="13"/>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row>
    <row r="22" spans="1:30" x14ac:dyDescent="0.3">
      <c r="A22" s="13"/>
      <c r="B22" s="13"/>
      <c r="C22" s="13"/>
      <c r="D22" s="13"/>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row>
    <row r="23" spans="1:30" x14ac:dyDescent="0.3">
      <c r="A23" s="13"/>
      <c r="B23" s="13"/>
      <c r="C23" s="13"/>
      <c r="D23" s="13"/>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row>
    <row r="24" spans="1:30" x14ac:dyDescent="0.3">
      <c r="A24" s="13"/>
      <c r="B24" s="13"/>
      <c r="C24" s="13"/>
      <c r="D24" s="13"/>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row>
    <row r="25" spans="1:30" x14ac:dyDescent="0.3">
      <c r="A25" s="13"/>
      <c r="B25" s="13"/>
      <c r="C25" s="13"/>
      <c r="D25" s="13"/>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row>
    <row r="26" spans="1:30" x14ac:dyDescent="0.3">
      <c r="A26" s="13"/>
      <c r="B26" s="13"/>
      <c r="C26" s="13"/>
      <c r="D26" s="13"/>
      <c r="E26" s="13"/>
      <c r="F26" s="13"/>
      <c r="G26" s="13"/>
      <c r="H26" s="13"/>
      <c r="I26" s="13"/>
      <c r="J26" s="13"/>
      <c r="K26" s="13"/>
      <c r="L26" s="13"/>
      <c r="M26" s="69"/>
      <c r="N26" s="13"/>
      <c r="O26" s="13"/>
      <c r="P26" s="13"/>
      <c r="Q26" s="13"/>
      <c r="R26" s="13"/>
      <c r="S26" s="13"/>
      <c r="T26" s="13"/>
      <c r="U26" s="13"/>
      <c r="V26" s="13"/>
      <c r="W26" s="13"/>
      <c r="X26" s="13"/>
      <c r="Y26" s="13"/>
      <c r="Z26" s="13"/>
      <c r="AA26" s="13"/>
      <c r="AB26" s="13"/>
      <c r="AC26" s="13"/>
      <c r="AD26" s="13"/>
    </row>
    <row r="27" spans="1:30" x14ac:dyDescent="0.3">
      <c r="A27" s="13"/>
      <c r="B27" s="13"/>
      <c r="C27" s="13"/>
      <c r="D27" s="13"/>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row>
    <row r="28" spans="1:30" x14ac:dyDescent="0.3">
      <c r="A28" s="13"/>
      <c r="B28" s="13"/>
      <c r="C28" s="13"/>
      <c r="D28" s="13"/>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row>
    <row r="29" spans="1:30" x14ac:dyDescent="0.3">
      <c r="A29" s="13"/>
      <c r="B29" s="13"/>
      <c r="C29" s="13"/>
      <c r="D29" s="13"/>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row>
    <row r="30" spans="1:30" x14ac:dyDescent="0.3">
      <c r="A30" s="13"/>
      <c r="B30" s="13"/>
      <c r="C30" s="13"/>
      <c r="D30" s="13"/>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row>
    <row r="31" spans="1:30" x14ac:dyDescent="0.3">
      <c r="A31" s="13"/>
      <c r="B31" s="13"/>
      <c r="C31" s="13"/>
      <c r="D31" s="13"/>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row>
    <row r="32" spans="1:30" x14ac:dyDescent="0.3">
      <c r="A32" s="13"/>
      <c r="B32" s="13"/>
      <c r="C32" s="13"/>
      <c r="D32" s="13"/>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row>
    <row r="33" spans="1:30" x14ac:dyDescent="0.3">
      <c r="A33" s="13"/>
      <c r="B33" s="13"/>
      <c r="C33" s="13"/>
      <c r="D33" s="13"/>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row>
    <row r="34" spans="1:30" x14ac:dyDescent="0.3">
      <c r="A34" s="13"/>
      <c r="B34" s="13"/>
      <c r="C34" s="13"/>
      <c r="D34" s="13"/>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row>
    <row r="35" spans="1:30" x14ac:dyDescent="0.3">
      <c r="A35" s="13"/>
      <c r="B35" s="13"/>
      <c r="C35" s="13"/>
      <c r="D35" s="13"/>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row>
    <row r="36" spans="1:30" x14ac:dyDescent="0.3">
      <c r="A36" s="13"/>
      <c r="B36" s="13"/>
      <c r="C36" s="13"/>
      <c r="D36" s="13"/>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row>
    <row r="37" spans="1:30" x14ac:dyDescent="0.3">
      <c r="A37" s="13"/>
      <c r="B37" s="13"/>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row>
    <row r="38" spans="1:30" x14ac:dyDescent="0.3">
      <c r="A38" s="13"/>
      <c r="B38" s="13"/>
      <c r="C38" s="13"/>
      <c r="D38" s="13"/>
      <c r="E38" s="13"/>
      <c r="F38" s="13"/>
      <c r="G38" s="13"/>
      <c r="H38" s="13"/>
      <c r="I38" s="13"/>
      <c r="J38" s="13"/>
      <c r="K38" s="13"/>
      <c r="L38" s="13"/>
      <c r="M38" s="13"/>
      <c r="N38" s="13"/>
      <c r="O38" s="13"/>
      <c r="P38" s="13"/>
      <c r="Q38" s="13"/>
      <c r="R38" s="13"/>
      <c r="S38" s="13"/>
      <c r="T38" s="13"/>
      <c r="U38" s="13"/>
      <c r="V38" s="13"/>
      <c r="W38" s="13"/>
      <c r="X38" s="13"/>
      <c r="Y38" s="13"/>
      <c r="Z38" s="13"/>
      <c r="AA38" s="13"/>
      <c r="AB38" s="13"/>
      <c r="AC38" s="13"/>
      <c r="AD38" s="13"/>
    </row>
    <row r="39" spans="1:30" x14ac:dyDescent="0.3">
      <c r="A39" s="13"/>
      <c r="B39" s="13"/>
      <c r="C39" s="13"/>
      <c r="D39" s="13"/>
      <c r="E39" s="13"/>
      <c r="F39" s="13"/>
      <c r="G39" s="13"/>
      <c r="H39" s="13"/>
      <c r="I39" s="13"/>
      <c r="J39" s="13"/>
      <c r="K39" s="13"/>
      <c r="L39" s="13"/>
      <c r="M39" s="13"/>
      <c r="N39" s="13"/>
      <c r="O39" s="13"/>
      <c r="P39" s="13"/>
      <c r="Q39" s="13"/>
      <c r="R39" s="13"/>
      <c r="S39" s="13"/>
      <c r="T39" s="13"/>
      <c r="U39" s="13"/>
      <c r="V39" s="13"/>
      <c r="W39" s="13"/>
      <c r="X39" s="13"/>
      <c r="Y39" s="13"/>
      <c r="Z39" s="13"/>
      <c r="AA39" s="13"/>
      <c r="AB39" s="13"/>
      <c r="AC39" s="13"/>
      <c r="AD39" s="13"/>
    </row>
    <row r="40" spans="1:30"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row>
    <row r="41" spans="1:30" x14ac:dyDescent="0.3">
      <c r="A41" s="13"/>
      <c r="B41" s="13"/>
      <c r="C41" s="13"/>
      <c r="D41" s="13"/>
      <c r="E41" s="13"/>
      <c r="F41" s="13"/>
      <c r="G41" s="13"/>
      <c r="H41" s="13"/>
      <c r="I41" s="13"/>
      <c r="J41" s="13"/>
      <c r="K41" s="13"/>
      <c r="L41" s="13"/>
      <c r="M41" s="13"/>
      <c r="N41" s="13"/>
      <c r="O41" s="13"/>
      <c r="P41" s="13"/>
      <c r="Q41" s="13"/>
      <c r="R41" s="13"/>
      <c r="S41" s="13"/>
      <c r="T41" s="13"/>
      <c r="U41" s="13"/>
      <c r="V41" s="13"/>
      <c r="W41" s="13"/>
      <c r="X41" s="13"/>
      <c r="Y41" s="13"/>
      <c r="Z41" s="13"/>
      <c r="AA41" s="13"/>
      <c r="AB41" s="13"/>
      <c r="AC41" s="13"/>
      <c r="AD41" s="13"/>
    </row>
    <row r="42" spans="1:30" x14ac:dyDescent="0.3">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c r="AA42" s="13"/>
      <c r="AB42" s="13"/>
      <c r="AC42" s="13"/>
      <c r="AD42" s="13"/>
    </row>
    <row r="43" spans="1:30" x14ac:dyDescent="0.3">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c r="AA43" s="13"/>
      <c r="AB43" s="13"/>
      <c r="AC43" s="13"/>
      <c r="AD43" s="13"/>
    </row>
    <row r="44" spans="1:30" x14ac:dyDescent="0.3">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c r="AA44" s="13"/>
      <c r="AB44" s="13"/>
      <c r="AC44" s="13"/>
      <c r="AD44" s="13"/>
    </row>
    <row r="45" spans="1:30" x14ac:dyDescent="0.3">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c r="AA45" s="13"/>
      <c r="AB45" s="13"/>
      <c r="AC45" s="13"/>
      <c r="AD45" s="13"/>
    </row>
  </sheetData>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6AE3EB-AAF0-46AD-870B-24E8F22CE768}">
  <dimension ref="A1:AD44"/>
  <sheetViews>
    <sheetView showGridLines="0" zoomScale="80" zoomScaleNormal="80" workbookViewId="0">
      <selection activeCell="K47" sqref="K47"/>
    </sheetView>
  </sheetViews>
  <sheetFormatPr defaultRowHeight="14.4" x14ac:dyDescent="0.3"/>
  <cols>
    <col min="30" max="30" width="4" customWidth="1"/>
  </cols>
  <sheetData>
    <row r="1" spans="1:30" x14ac:dyDescent="0.3">
      <c r="A1" s="14"/>
      <c r="B1" s="14"/>
      <c r="C1" s="14"/>
      <c r="D1" s="14"/>
      <c r="E1" s="14"/>
      <c r="F1" s="14"/>
      <c r="G1" s="14"/>
      <c r="H1" s="14"/>
      <c r="I1" s="14"/>
      <c r="J1" s="14"/>
      <c r="K1" s="14"/>
      <c r="L1" s="14"/>
      <c r="M1" s="14"/>
      <c r="N1" s="14"/>
      <c r="O1" s="14"/>
      <c r="P1" s="14"/>
      <c r="Q1" s="14"/>
      <c r="R1" s="14"/>
      <c r="S1" s="14"/>
      <c r="T1" s="14"/>
      <c r="U1" s="14"/>
      <c r="V1" s="14"/>
      <c r="W1" s="14"/>
      <c r="X1" s="14"/>
      <c r="Y1" s="14"/>
      <c r="Z1" s="14"/>
      <c r="AA1" s="14"/>
      <c r="AB1" s="14"/>
      <c r="AC1" s="14"/>
      <c r="AD1" s="14"/>
    </row>
    <row r="2" spans="1:30" x14ac:dyDescent="0.3">
      <c r="A2" s="14"/>
      <c r="B2" s="14"/>
      <c r="C2" s="14"/>
      <c r="D2" s="14"/>
      <c r="E2" s="14"/>
      <c r="F2" s="14"/>
      <c r="G2" s="14"/>
      <c r="H2" s="14"/>
      <c r="I2" s="14"/>
      <c r="J2" s="14"/>
      <c r="K2" s="14"/>
      <c r="L2" s="14"/>
      <c r="M2" s="14"/>
      <c r="N2" s="14"/>
      <c r="O2" s="14"/>
      <c r="P2" s="14"/>
      <c r="Q2" s="14"/>
      <c r="R2" s="14"/>
      <c r="S2" s="14"/>
      <c r="T2" s="14"/>
      <c r="U2" s="14"/>
      <c r="V2" s="14"/>
      <c r="W2" s="14"/>
      <c r="X2" s="14"/>
      <c r="Y2" s="14"/>
      <c r="Z2" s="14"/>
      <c r="AA2" s="14"/>
      <c r="AB2" s="14"/>
      <c r="AC2" s="14"/>
      <c r="AD2" s="14"/>
    </row>
    <row r="3" spans="1:30" x14ac:dyDescent="0.3">
      <c r="A3" s="14"/>
      <c r="B3" s="14"/>
      <c r="C3" s="14"/>
      <c r="D3" s="14"/>
      <c r="E3" s="14"/>
      <c r="F3" s="14"/>
      <c r="G3" s="14"/>
      <c r="H3" s="14"/>
      <c r="I3" s="14"/>
      <c r="J3" s="14"/>
      <c r="K3" s="14"/>
      <c r="L3" s="14"/>
      <c r="M3" s="14"/>
      <c r="N3" s="14"/>
      <c r="O3" s="14"/>
      <c r="P3" s="14"/>
      <c r="Q3" s="14"/>
      <c r="R3" s="14"/>
      <c r="S3" s="14"/>
      <c r="T3" s="14"/>
      <c r="U3" s="14"/>
      <c r="V3" s="14"/>
      <c r="W3" s="14"/>
      <c r="X3" s="14"/>
      <c r="Y3" s="14"/>
      <c r="Z3" s="14"/>
      <c r="AA3" s="14"/>
      <c r="AB3" s="14"/>
      <c r="AC3" s="14"/>
      <c r="AD3" s="14"/>
    </row>
    <row r="4" spans="1:30" x14ac:dyDescent="0.3">
      <c r="A4" s="14"/>
      <c r="B4" s="14"/>
      <c r="C4" s="14"/>
      <c r="D4" s="14"/>
      <c r="E4" s="14"/>
      <c r="F4" s="14"/>
      <c r="G4" s="14"/>
      <c r="H4" s="14"/>
      <c r="I4" s="14"/>
      <c r="J4" s="14"/>
      <c r="K4" s="14"/>
      <c r="L4" s="14"/>
      <c r="M4" s="14"/>
      <c r="N4" s="14"/>
      <c r="O4" s="14"/>
      <c r="P4" s="14"/>
      <c r="Q4" s="14"/>
      <c r="R4" s="14"/>
      <c r="S4" s="14"/>
      <c r="T4" s="14"/>
      <c r="U4" s="14"/>
      <c r="V4" s="14"/>
      <c r="W4" s="14"/>
      <c r="X4" s="14"/>
      <c r="Y4" s="14"/>
      <c r="Z4" s="14"/>
      <c r="AA4" s="14"/>
      <c r="AB4" s="14"/>
      <c r="AC4" s="14"/>
      <c r="AD4" s="14"/>
    </row>
    <row r="5" spans="1:30" x14ac:dyDescent="0.3">
      <c r="A5" s="14"/>
      <c r="B5" s="14"/>
      <c r="C5" s="14"/>
      <c r="D5" s="14"/>
      <c r="E5" s="14"/>
      <c r="F5" s="14"/>
      <c r="G5" s="14"/>
      <c r="H5" s="14"/>
      <c r="I5" s="14"/>
      <c r="J5" s="14"/>
      <c r="K5" s="14"/>
      <c r="L5" s="14"/>
      <c r="M5" s="14"/>
      <c r="N5" s="14"/>
      <c r="O5" s="14"/>
      <c r="P5" s="14"/>
      <c r="Q5" s="14"/>
      <c r="R5" s="14"/>
      <c r="S5" s="14"/>
      <c r="T5" s="14"/>
      <c r="U5" s="14"/>
      <c r="V5" s="14"/>
      <c r="W5" s="14"/>
      <c r="X5" s="14"/>
      <c r="Y5" s="14"/>
      <c r="Z5" s="14"/>
      <c r="AA5" s="14"/>
      <c r="AB5" s="14"/>
      <c r="AC5" s="14"/>
      <c r="AD5" s="14"/>
    </row>
    <row r="6" spans="1:30" x14ac:dyDescent="0.3">
      <c r="A6" s="14"/>
      <c r="B6" s="14"/>
      <c r="C6" s="14"/>
      <c r="D6" s="14"/>
      <c r="E6" s="14"/>
      <c r="F6" s="14"/>
      <c r="G6" s="14"/>
      <c r="H6" s="14"/>
      <c r="I6" s="14"/>
      <c r="J6" s="14"/>
      <c r="K6" s="14"/>
      <c r="L6" s="14"/>
      <c r="M6" s="14"/>
      <c r="N6" s="14"/>
      <c r="O6" s="14"/>
      <c r="P6" s="14"/>
      <c r="Q6" s="14"/>
      <c r="R6" s="14"/>
      <c r="S6" s="14"/>
      <c r="T6" s="14"/>
      <c r="U6" s="14"/>
      <c r="V6" s="14"/>
      <c r="W6" s="14"/>
      <c r="X6" s="14"/>
      <c r="Y6" s="14"/>
      <c r="Z6" s="14"/>
      <c r="AA6" s="14"/>
      <c r="AB6" s="14"/>
      <c r="AC6" s="14"/>
      <c r="AD6" s="14"/>
    </row>
    <row r="7" spans="1:30" x14ac:dyDescent="0.3">
      <c r="A7" s="14"/>
      <c r="B7" s="14"/>
      <c r="C7" s="14"/>
      <c r="D7" s="14"/>
      <c r="E7" s="14"/>
      <c r="F7" s="14"/>
      <c r="G7" s="14"/>
      <c r="H7" s="14"/>
      <c r="I7" s="14"/>
      <c r="J7" s="14"/>
      <c r="K7" s="14"/>
      <c r="L7" s="14"/>
      <c r="M7" s="14"/>
      <c r="N7" s="14"/>
      <c r="O7" s="14"/>
      <c r="P7" s="14"/>
      <c r="Q7" s="14"/>
      <c r="R7" s="14"/>
      <c r="S7" s="14"/>
      <c r="T7" s="14"/>
      <c r="U7" s="14"/>
      <c r="V7" s="14"/>
      <c r="W7" s="14"/>
      <c r="X7" s="14"/>
      <c r="Y7" s="14"/>
      <c r="Z7" s="14"/>
      <c r="AA7" s="14"/>
      <c r="AB7" s="14"/>
      <c r="AC7" s="14"/>
      <c r="AD7" s="14"/>
    </row>
    <row r="8" spans="1:30" x14ac:dyDescent="0.3">
      <c r="A8" s="14"/>
      <c r="B8" s="14"/>
      <c r="C8" s="14"/>
      <c r="D8" s="14"/>
      <c r="E8" s="14"/>
      <c r="F8" s="14"/>
      <c r="G8" s="14"/>
      <c r="H8" s="14"/>
      <c r="I8" s="14"/>
      <c r="J8" s="14"/>
      <c r="K8" s="14"/>
      <c r="L8" s="14"/>
      <c r="M8" s="14"/>
      <c r="N8" s="14"/>
      <c r="O8" s="14"/>
      <c r="P8" s="14"/>
      <c r="Q8" s="14"/>
      <c r="R8" s="14"/>
      <c r="S8" s="14"/>
      <c r="T8" s="14"/>
      <c r="U8" s="14"/>
      <c r="V8" s="14"/>
      <c r="W8" s="14"/>
      <c r="X8" s="14"/>
      <c r="Y8" s="14"/>
      <c r="Z8" s="14"/>
      <c r="AA8" s="14"/>
      <c r="AB8" s="14"/>
      <c r="AC8" s="14"/>
      <c r="AD8" s="14"/>
    </row>
    <row r="9" spans="1:30" x14ac:dyDescent="0.3">
      <c r="A9" s="14"/>
      <c r="B9" s="14"/>
      <c r="C9" s="14"/>
      <c r="D9" s="14"/>
      <c r="E9" s="14"/>
      <c r="F9" s="14"/>
      <c r="G9" s="14"/>
      <c r="H9" s="14"/>
      <c r="I9" s="14"/>
      <c r="J9" s="14"/>
      <c r="K9" s="14"/>
      <c r="L9" s="14"/>
      <c r="M9" s="14"/>
      <c r="N9" s="14"/>
      <c r="O9" s="14"/>
      <c r="P9" s="14"/>
      <c r="Q9" s="14"/>
      <c r="R9" s="14"/>
      <c r="S9" s="14"/>
      <c r="T9" s="14"/>
      <c r="U9" s="14"/>
      <c r="V9" s="14"/>
      <c r="W9" s="14"/>
      <c r="X9" s="14"/>
      <c r="Y9" s="14"/>
      <c r="Z9" s="14"/>
      <c r="AA9" s="14"/>
      <c r="AB9" s="14"/>
      <c r="AC9" s="14"/>
      <c r="AD9" s="14"/>
    </row>
    <row r="10" spans="1:30" x14ac:dyDescent="0.3">
      <c r="A10" s="14"/>
      <c r="B10" s="14"/>
      <c r="C10" s="14"/>
      <c r="D10" s="14"/>
      <c r="E10" s="14"/>
      <c r="F10" s="14"/>
      <c r="G10" s="14"/>
      <c r="H10" s="14"/>
      <c r="I10" s="14"/>
      <c r="J10" s="14"/>
      <c r="K10" s="14"/>
      <c r="L10" s="14"/>
      <c r="M10" s="14"/>
      <c r="N10" s="14"/>
      <c r="O10" s="14"/>
      <c r="P10" s="14"/>
      <c r="Q10" s="14"/>
      <c r="R10" s="14"/>
      <c r="S10" s="14"/>
      <c r="T10" s="14"/>
      <c r="U10" s="14"/>
      <c r="V10" s="14"/>
      <c r="W10" s="14"/>
      <c r="X10" s="14"/>
      <c r="Y10" s="14"/>
      <c r="Z10" s="14"/>
      <c r="AA10" s="14"/>
      <c r="AB10" s="14"/>
      <c r="AC10" s="14"/>
      <c r="AD10" s="14"/>
    </row>
    <row r="11" spans="1:30" x14ac:dyDescent="0.3">
      <c r="A11" s="14"/>
      <c r="B11" s="14"/>
      <c r="C11" s="14"/>
      <c r="D11" s="14"/>
      <c r="E11" s="14"/>
      <c r="F11" s="14"/>
      <c r="G11" s="14"/>
      <c r="H11" s="14"/>
      <c r="I11" s="14"/>
      <c r="J11" s="14"/>
      <c r="K11" s="14"/>
      <c r="L11" s="14"/>
      <c r="M11" s="14"/>
      <c r="N11" s="14"/>
      <c r="O11" s="14"/>
      <c r="P11" s="14"/>
      <c r="Q11" s="14"/>
      <c r="R11" s="14"/>
      <c r="S11" s="14"/>
      <c r="T11" s="14"/>
      <c r="U11" s="14"/>
      <c r="V11" s="14"/>
      <c r="W11" s="14"/>
      <c r="X11" s="14"/>
      <c r="Y11" s="14"/>
      <c r="Z11" s="14"/>
      <c r="AA11" s="14"/>
      <c r="AB11" s="14"/>
      <c r="AC11" s="14"/>
      <c r="AD11" s="14"/>
    </row>
    <row r="12" spans="1:30" x14ac:dyDescent="0.3">
      <c r="A12" s="14"/>
      <c r="B12" s="14"/>
      <c r="C12" s="14"/>
      <c r="D12" s="14"/>
      <c r="E12" s="14"/>
      <c r="F12" s="14"/>
      <c r="G12" s="14"/>
      <c r="H12" s="14"/>
      <c r="I12" s="14"/>
      <c r="J12" s="14"/>
      <c r="K12" s="14"/>
      <c r="L12" s="14"/>
      <c r="M12" s="14"/>
      <c r="N12" s="14"/>
      <c r="O12" s="14"/>
      <c r="P12" s="14"/>
      <c r="Q12" s="14"/>
      <c r="R12" s="14"/>
      <c r="S12" s="14"/>
      <c r="T12" s="14"/>
      <c r="U12" s="14"/>
      <c r="V12" s="14"/>
      <c r="W12" s="14"/>
      <c r="X12" s="14"/>
      <c r="Y12" s="14"/>
      <c r="Z12" s="14"/>
      <c r="AA12" s="14"/>
      <c r="AB12" s="14"/>
      <c r="AC12" s="14"/>
      <c r="AD12" s="14"/>
    </row>
    <row r="13" spans="1:30" x14ac:dyDescent="0.3">
      <c r="A13" s="14"/>
      <c r="B13" s="14"/>
      <c r="C13" s="14"/>
      <c r="D13" s="14"/>
      <c r="E13" s="14"/>
      <c r="F13" s="14"/>
      <c r="G13" s="14"/>
      <c r="H13" s="14"/>
      <c r="I13" s="14"/>
      <c r="J13" s="14"/>
      <c r="K13" s="14"/>
      <c r="L13" s="14"/>
      <c r="M13" s="14"/>
      <c r="N13" s="14"/>
      <c r="O13" s="14"/>
      <c r="P13" s="14"/>
      <c r="Q13" s="14"/>
      <c r="R13" s="14"/>
      <c r="S13" s="14"/>
      <c r="T13" s="14"/>
      <c r="U13" s="14"/>
      <c r="V13" s="14"/>
      <c r="W13" s="14"/>
      <c r="X13" s="14"/>
      <c r="Y13" s="14"/>
      <c r="Z13" s="14"/>
      <c r="AA13" s="14"/>
      <c r="AB13" s="14"/>
      <c r="AC13" s="14"/>
      <c r="AD13" s="14"/>
    </row>
    <row r="14" spans="1:30" x14ac:dyDescent="0.3">
      <c r="A14" s="14"/>
      <c r="B14" s="14"/>
      <c r="C14" s="14"/>
      <c r="D14" s="14"/>
      <c r="E14" s="14"/>
      <c r="F14" s="14"/>
      <c r="G14" s="14"/>
      <c r="H14" s="14"/>
      <c r="I14" s="14"/>
      <c r="J14" s="14"/>
      <c r="K14" s="14"/>
      <c r="L14" s="14"/>
      <c r="M14" s="14"/>
      <c r="N14" s="14"/>
      <c r="O14" s="14"/>
      <c r="P14" s="14"/>
      <c r="Q14" s="14"/>
      <c r="R14" s="14"/>
      <c r="S14" s="14"/>
      <c r="T14" s="14"/>
      <c r="U14" s="14"/>
      <c r="V14" s="14"/>
      <c r="W14" s="14"/>
      <c r="X14" s="14"/>
      <c r="Y14" s="14"/>
      <c r="Z14" s="14"/>
      <c r="AA14" s="14"/>
      <c r="AB14" s="14"/>
      <c r="AC14" s="14"/>
      <c r="AD14" s="14"/>
    </row>
    <row r="15" spans="1:30" x14ac:dyDescent="0.3">
      <c r="A15" s="14"/>
      <c r="B15" s="14"/>
      <c r="C15" s="14"/>
      <c r="D15" s="14"/>
      <c r="E15" s="14"/>
      <c r="F15" s="14"/>
      <c r="G15" s="14"/>
      <c r="H15" s="14"/>
      <c r="I15" s="14"/>
      <c r="J15" s="14"/>
      <c r="K15" s="14"/>
      <c r="L15" s="14"/>
      <c r="M15" s="14"/>
      <c r="N15" s="14"/>
      <c r="O15" s="14"/>
      <c r="P15" s="14"/>
      <c r="Q15" s="14"/>
      <c r="R15" s="14"/>
      <c r="S15" s="14"/>
      <c r="T15" s="14"/>
      <c r="U15" s="14"/>
      <c r="V15" s="14"/>
      <c r="W15" s="14"/>
      <c r="X15" s="14"/>
      <c r="Y15" s="14"/>
      <c r="Z15" s="14"/>
      <c r="AA15" s="14"/>
      <c r="AB15" s="14"/>
      <c r="AC15" s="14"/>
      <c r="AD15" s="14"/>
    </row>
    <row r="16" spans="1:30" x14ac:dyDescent="0.3">
      <c r="A16" s="14"/>
      <c r="B16" s="14"/>
      <c r="C16" s="14"/>
      <c r="D16" s="14"/>
      <c r="E16" s="14"/>
      <c r="F16" s="14"/>
      <c r="G16" s="14"/>
      <c r="H16" s="14"/>
      <c r="I16" s="14"/>
      <c r="J16" s="14"/>
      <c r="K16" s="14"/>
      <c r="L16" s="14"/>
      <c r="M16" s="14"/>
      <c r="N16" s="14"/>
      <c r="O16" s="14"/>
      <c r="P16" s="14"/>
      <c r="Q16" s="14"/>
      <c r="R16" s="14"/>
      <c r="S16" s="14"/>
      <c r="T16" s="14"/>
      <c r="U16" s="14"/>
      <c r="V16" s="14"/>
      <c r="W16" s="14"/>
      <c r="X16" s="14"/>
      <c r="Y16" s="14"/>
      <c r="Z16" s="14"/>
      <c r="AA16" s="14"/>
      <c r="AB16" s="14"/>
      <c r="AC16" s="14"/>
      <c r="AD16" s="14"/>
    </row>
    <row r="17" spans="1:30" x14ac:dyDescent="0.3">
      <c r="A17" s="14"/>
      <c r="B17" s="14"/>
      <c r="C17" s="14"/>
      <c r="D17" s="14"/>
      <c r="E17" s="14"/>
      <c r="F17" s="14"/>
      <c r="G17" s="14"/>
      <c r="H17" s="14"/>
      <c r="I17" s="14"/>
      <c r="J17" s="14"/>
      <c r="K17" s="14"/>
      <c r="L17" s="14"/>
      <c r="M17" s="14"/>
      <c r="N17" s="14"/>
      <c r="O17" s="14"/>
      <c r="P17" s="14"/>
      <c r="Q17" s="14"/>
      <c r="R17" s="14"/>
      <c r="S17" s="14"/>
      <c r="T17" s="14"/>
      <c r="U17" s="14"/>
      <c r="V17" s="14"/>
      <c r="W17" s="14"/>
      <c r="X17" s="14"/>
      <c r="Y17" s="14"/>
      <c r="Z17" s="14"/>
      <c r="AA17" s="14"/>
      <c r="AB17" s="14"/>
      <c r="AC17" s="14"/>
      <c r="AD17" s="14"/>
    </row>
    <row r="18" spans="1:30" x14ac:dyDescent="0.3">
      <c r="A18" s="14"/>
      <c r="B18" s="14"/>
      <c r="C18" s="14"/>
      <c r="D18" s="14"/>
      <c r="E18" s="14"/>
      <c r="F18" s="14"/>
      <c r="G18" s="14"/>
      <c r="H18" s="14"/>
      <c r="I18" s="14"/>
      <c r="J18" s="14"/>
      <c r="K18" s="14"/>
      <c r="L18" s="14"/>
      <c r="M18" s="14"/>
      <c r="N18" s="14"/>
      <c r="O18" s="14"/>
      <c r="P18" s="14"/>
      <c r="Q18" s="14"/>
      <c r="R18" s="14"/>
      <c r="S18" s="14"/>
      <c r="T18" s="14"/>
      <c r="U18" s="14"/>
      <c r="V18" s="14"/>
      <c r="W18" s="14"/>
      <c r="X18" s="14"/>
      <c r="Y18" s="14"/>
      <c r="Z18" s="14"/>
      <c r="AA18" s="14"/>
      <c r="AB18" s="14"/>
      <c r="AC18" s="14"/>
      <c r="AD18" s="14"/>
    </row>
    <row r="19" spans="1:30" x14ac:dyDescent="0.3">
      <c r="A19" s="14"/>
      <c r="B19" s="14"/>
      <c r="C19" s="14"/>
      <c r="D19" s="14"/>
      <c r="E19" s="14"/>
      <c r="F19" s="14"/>
      <c r="G19" s="14"/>
      <c r="H19" s="14"/>
      <c r="I19" s="14"/>
      <c r="J19" s="14"/>
      <c r="K19" s="14"/>
      <c r="L19" s="14"/>
      <c r="M19" s="14"/>
      <c r="N19" s="14"/>
      <c r="O19" s="14"/>
      <c r="P19" s="14"/>
      <c r="Q19" s="14"/>
      <c r="R19" s="14"/>
      <c r="S19" s="14"/>
      <c r="T19" s="14"/>
      <c r="U19" s="14"/>
      <c r="V19" s="14"/>
      <c r="W19" s="14"/>
      <c r="X19" s="14"/>
      <c r="Y19" s="14"/>
      <c r="Z19" s="14"/>
      <c r="AA19" s="14"/>
      <c r="AB19" s="14"/>
      <c r="AC19" s="14"/>
      <c r="AD19" s="14"/>
    </row>
    <row r="20" spans="1:30" x14ac:dyDescent="0.3">
      <c r="A20" s="14"/>
      <c r="B20" s="14"/>
      <c r="C20" s="14"/>
      <c r="D20" s="14"/>
      <c r="E20" s="14"/>
      <c r="F20" s="14"/>
      <c r="G20" s="14"/>
      <c r="H20" s="14"/>
      <c r="I20" s="14"/>
      <c r="J20" s="14"/>
      <c r="K20" s="14"/>
      <c r="L20" s="14"/>
      <c r="M20" s="14"/>
      <c r="N20" s="14"/>
      <c r="O20" s="14"/>
      <c r="P20" s="14"/>
      <c r="Q20" s="14"/>
      <c r="R20" s="14"/>
      <c r="S20" s="14"/>
      <c r="T20" s="14"/>
      <c r="U20" s="14"/>
      <c r="V20" s="14"/>
      <c r="W20" s="14"/>
      <c r="X20" s="14"/>
      <c r="Y20" s="14"/>
      <c r="Z20" s="14"/>
      <c r="AA20" s="14"/>
      <c r="AB20" s="14"/>
      <c r="AC20" s="14"/>
      <c r="AD20" s="14"/>
    </row>
    <row r="21" spans="1:30" x14ac:dyDescent="0.3">
      <c r="A21" s="14"/>
      <c r="B21" s="14"/>
      <c r="C21" s="14"/>
      <c r="D21" s="14"/>
      <c r="E21" s="14"/>
      <c r="F21" s="14"/>
      <c r="G21" s="14"/>
      <c r="H21" s="14"/>
      <c r="I21" s="14"/>
      <c r="J21" s="14"/>
      <c r="K21" s="14"/>
      <c r="L21" s="14"/>
      <c r="M21" s="14"/>
      <c r="N21" s="14"/>
      <c r="O21" s="14"/>
      <c r="P21" s="14"/>
      <c r="Q21" s="14"/>
      <c r="R21" s="14"/>
      <c r="S21" s="14"/>
      <c r="T21" s="14"/>
      <c r="U21" s="14"/>
      <c r="V21" s="14"/>
      <c r="W21" s="14"/>
      <c r="X21" s="14"/>
      <c r="Y21" s="14"/>
      <c r="Z21" s="14"/>
      <c r="AA21" s="14"/>
      <c r="AB21" s="14"/>
      <c r="AC21" s="14"/>
      <c r="AD21" s="14"/>
    </row>
    <row r="22" spans="1:30" x14ac:dyDescent="0.3">
      <c r="A22" s="14"/>
      <c r="B22" s="14"/>
      <c r="C22" s="14"/>
      <c r="D22" s="14"/>
      <c r="E22" s="14"/>
      <c r="F22" s="14"/>
      <c r="G22" s="14"/>
      <c r="H22" s="14"/>
      <c r="I22" s="14"/>
      <c r="J22" s="14"/>
      <c r="K22" s="14"/>
      <c r="L22" s="14"/>
      <c r="M22" s="14"/>
      <c r="N22" s="14"/>
      <c r="O22" s="14"/>
      <c r="P22" s="14"/>
      <c r="Q22" s="14"/>
      <c r="R22" s="14"/>
      <c r="S22" s="14"/>
      <c r="T22" s="14"/>
      <c r="U22" s="14"/>
      <c r="V22" s="14"/>
      <c r="W22" s="14"/>
      <c r="X22" s="14"/>
      <c r="Y22" s="14"/>
      <c r="Z22" s="14"/>
      <c r="AA22" s="14"/>
      <c r="AB22" s="14"/>
      <c r="AC22" s="14"/>
      <c r="AD22" s="14"/>
    </row>
    <row r="23" spans="1:30" x14ac:dyDescent="0.3">
      <c r="A23" s="14"/>
      <c r="B23" s="14"/>
      <c r="C23" s="14"/>
      <c r="D23" s="14"/>
      <c r="E23" s="14"/>
      <c r="F23" s="14"/>
      <c r="G23" s="14"/>
      <c r="H23" s="14"/>
      <c r="I23" s="14"/>
      <c r="J23" s="14"/>
      <c r="K23" s="14"/>
      <c r="L23" s="14"/>
      <c r="M23" s="14"/>
      <c r="N23" s="14"/>
      <c r="O23" s="14"/>
      <c r="P23" s="14"/>
      <c r="Q23" s="14"/>
      <c r="R23" s="14"/>
      <c r="S23" s="14"/>
      <c r="T23" s="14"/>
      <c r="U23" s="14"/>
      <c r="V23" s="14"/>
      <c r="W23" s="14"/>
      <c r="X23" s="14"/>
      <c r="Y23" s="14"/>
      <c r="Z23" s="14"/>
      <c r="AA23" s="14"/>
      <c r="AB23" s="14"/>
      <c r="AC23" s="14"/>
      <c r="AD23" s="14"/>
    </row>
    <row r="24" spans="1:30" x14ac:dyDescent="0.3">
      <c r="A24" s="14"/>
      <c r="B24" s="14"/>
      <c r="C24" s="14"/>
      <c r="D24" s="14"/>
      <c r="E24" s="14"/>
      <c r="F24" s="14"/>
      <c r="G24" s="14"/>
      <c r="H24" s="14"/>
      <c r="I24" s="14"/>
      <c r="J24" s="14"/>
      <c r="K24" s="14"/>
      <c r="L24" s="14"/>
      <c r="M24" s="14"/>
      <c r="N24" s="14"/>
      <c r="O24" s="14"/>
      <c r="P24" s="14"/>
      <c r="Q24" s="14"/>
      <c r="R24" s="14"/>
      <c r="S24" s="14"/>
      <c r="T24" s="14"/>
      <c r="U24" s="14"/>
      <c r="V24" s="14"/>
      <c r="W24" s="14"/>
      <c r="X24" s="14"/>
      <c r="Y24" s="14"/>
      <c r="Z24" s="14"/>
      <c r="AA24" s="14"/>
      <c r="AB24" s="14"/>
      <c r="AC24" s="14"/>
      <c r="AD24" s="14"/>
    </row>
    <row r="25" spans="1:30" x14ac:dyDescent="0.3">
      <c r="A25" s="14"/>
      <c r="B25" s="14"/>
      <c r="C25" s="14"/>
      <c r="D25" s="14"/>
      <c r="E25" s="14"/>
      <c r="F25" s="14"/>
      <c r="G25" s="14"/>
      <c r="H25" s="14"/>
      <c r="I25" s="14"/>
      <c r="J25" s="14"/>
      <c r="K25" s="14"/>
      <c r="L25" s="14"/>
      <c r="M25" s="14"/>
      <c r="N25" s="14"/>
      <c r="O25" s="14"/>
      <c r="P25" s="14"/>
      <c r="Q25" s="14"/>
      <c r="R25" s="14"/>
      <c r="S25" s="14"/>
      <c r="T25" s="14"/>
      <c r="U25" s="14"/>
      <c r="V25" s="14"/>
      <c r="W25" s="14"/>
      <c r="X25" s="14"/>
      <c r="Y25" s="14"/>
      <c r="Z25" s="14"/>
      <c r="AA25" s="14"/>
      <c r="AB25" s="14"/>
      <c r="AC25" s="14"/>
      <c r="AD25" s="14"/>
    </row>
    <row r="26" spans="1:30" x14ac:dyDescent="0.3">
      <c r="A26" s="14"/>
      <c r="B26" s="14"/>
      <c r="C26" s="14"/>
      <c r="D26" s="14"/>
      <c r="E26" s="14"/>
      <c r="F26" s="14"/>
      <c r="G26" s="14"/>
      <c r="H26" s="14"/>
      <c r="I26" s="14"/>
      <c r="J26" s="14"/>
      <c r="K26" s="14"/>
      <c r="L26" s="14"/>
      <c r="M26" s="14"/>
      <c r="N26" s="14"/>
      <c r="O26" s="14"/>
      <c r="P26" s="14"/>
      <c r="Q26" s="14"/>
      <c r="R26" s="14"/>
      <c r="S26" s="14"/>
      <c r="T26" s="14"/>
      <c r="U26" s="14"/>
      <c r="V26" s="14"/>
      <c r="W26" s="14"/>
      <c r="X26" s="14"/>
      <c r="Y26" s="14"/>
      <c r="Z26" s="14"/>
      <c r="AA26" s="14"/>
      <c r="AB26" s="14"/>
      <c r="AC26" s="14"/>
      <c r="AD26" s="14"/>
    </row>
    <row r="27" spans="1:30" x14ac:dyDescent="0.3">
      <c r="A27" s="14"/>
      <c r="B27" s="14"/>
      <c r="C27" s="14"/>
      <c r="D27" s="14"/>
      <c r="E27" s="14"/>
      <c r="F27" s="14"/>
      <c r="G27" s="14"/>
      <c r="H27" s="14"/>
      <c r="I27" s="14"/>
      <c r="J27" s="14"/>
      <c r="K27" s="14"/>
      <c r="L27" s="14"/>
      <c r="M27" s="14"/>
      <c r="N27" s="14"/>
      <c r="O27" s="14"/>
      <c r="P27" s="14"/>
      <c r="Q27" s="14"/>
      <c r="R27" s="14"/>
      <c r="S27" s="14"/>
      <c r="T27" s="14"/>
      <c r="U27" s="14"/>
      <c r="V27" s="14"/>
      <c r="W27" s="14"/>
      <c r="X27" s="14"/>
      <c r="Y27" s="14"/>
      <c r="Z27" s="14"/>
      <c r="AA27" s="14"/>
      <c r="AB27" s="14"/>
      <c r="AC27" s="14"/>
      <c r="AD27" s="14"/>
    </row>
    <row r="28" spans="1:30" x14ac:dyDescent="0.3">
      <c r="A28" s="14"/>
      <c r="B28" s="14"/>
      <c r="C28" s="14"/>
      <c r="D28" s="14"/>
      <c r="E28" s="14"/>
      <c r="F28" s="14"/>
      <c r="G28" s="14"/>
      <c r="H28" s="14"/>
      <c r="I28" s="14"/>
      <c r="J28" s="14"/>
      <c r="K28" s="14"/>
      <c r="L28" s="14"/>
      <c r="M28" s="14"/>
      <c r="N28" s="14"/>
      <c r="O28" s="14"/>
      <c r="P28" s="14"/>
      <c r="Q28" s="14"/>
      <c r="R28" s="14"/>
      <c r="S28" s="14"/>
      <c r="T28" s="14"/>
      <c r="U28" s="14"/>
      <c r="V28" s="14"/>
      <c r="W28" s="14"/>
      <c r="X28" s="14"/>
      <c r="Y28" s="14"/>
      <c r="Z28" s="14"/>
      <c r="AA28" s="14"/>
      <c r="AB28" s="14"/>
      <c r="AC28" s="14"/>
      <c r="AD28" s="14"/>
    </row>
    <row r="29" spans="1:30" x14ac:dyDescent="0.3">
      <c r="A29" s="14"/>
      <c r="B29" s="14"/>
      <c r="C29" s="14"/>
      <c r="D29" s="14"/>
      <c r="E29" s="14"/>
      <c r="F29" s="14"/>
      <c r="G29" s="14"/>
      <c r="H29" s="14"/>
      <c r="I29" s="14"/>
      <c r="J29" s="14"/>
      <c r="K29" s="14"/>
      <c r="L29" s="14"/>
      <c r="M29" s="14"/>
      <c r="N29" s="14"/>
      <c r="O29" s="14"/>
      <c r="P29" s="14"/>
      <c r="Q29" s="14"/>
      <c r="R29" s="14"/>
      <c r="S29" s="14"/>
      <c r="T29" s="14"/>
      <c r="U29" s="14"/>
      <c r="V29" s="14"/>
      <c r="W29" s="14"/>
      <c r="X29" s="14"/>
      <c r="Y29" s="14"/>
      <c r="Z29" s="14"/>
      <c r="AA29" s="14"/>
      <c r="AB29" s="14"/>
      <c r="AC29" s="14"/>
      <c r="AD29" s="14"/>
    </row>
    <row r="30" spans="1:30" x14ac:dyDescent="0.3">
      <c r="A30" s="14"/>
      <c r="B30" s="14"/>
      <c r="C30" s="14"/>
      <c r="D30" s="14"/>
      <c r="E30" s="14"/>
      <c r="F30" s="14"/>
      <c r="G30" s="14"/>
      <c r="H30" s="14"/>
      <c r="I30" s="14"/>
      <c r="J30" s="14"/>
      <c r="K30" s="14"/>
      <c r="L30" s="14"/>
      <c r="M30" s="14"/>
      <c r="N30" s="14"/>
      <c r="O30" s="14"/>
      <c r="P30" s="14"/>
      <c r="Q30" s="14"/>
      <c r="R30" s="14"/>
      <c r="S30" s="14"/>
      <c r="T30" s="14"/>
      <c r="U30" s="14"/>
      <c r="V30" s="14"/>
      <c r="W30" s="14"/>
      <c r="X30" s="14"/>
      <c r="Y30" s="14"/>
      <c r="Z30" s="14"/>
      <c r="AA30" s="14"/>
      <c r="AB30" s="14"/>
      <c r="AC30" s="14"/>
      <c r="AD30" s="14"/>
    </row>
    <row r="31" spans="1:30" x14ac:dyDescent="0.3">
      <c r="A31" s="14"/>
      <c r="B31" s="14"/>
      <c r="C31" s="14"/>
      <c r="D31" s="14"/>
      <c r="E31" s="14"/>
      <c r="F31" s="14"/>
      <c r="G31" s="14"/>
      <c r="H31" s="14"/>
      <c r="I31" s="14"/>
      <c r="J31" s="14"/>
      <c r="K31" s="14"/>
      <c r="L31" s="14"/>
      <c r="M31" s="14"/>
      <c r="N31" s="14"/>
      <c r="O31" s="14"/>
      <c r="P31" s="14"/>
      <c r="Q31" s="14"/>
      <c r="R31" s="14"/>
      <c r="S31" s="14"/>
      <c r="T31" s="14"/>
      <c r="U31" s="14"/>
      <c r="V31" s="14"/>
      <c r="W31" s="14"/>
      <c r="X31" s="14"/>
      <c r="Y31" s="14"/>
      <c r="Z31" s="14"/>
      <c r="AA31" s="14"/>
      <c r="AB31" s="14"/>
      <c r="AC31" s="14"/>
      <c r="AD31" s="14"/>
    </row>
    <row r="32" spans="1:30" x14ac:dyDescent="0.3">
      <c r="A32" s="14"/>
      <c r="B32" s="14"/>
      <c r="C32" s="14"/>
      <c r="D32" s="14"/>
      <c r="E32" s="14"/>
      <c r="F32" s="14"/>
      <c r="G32" s="14"/>
      <c r="H32" s="14"/>
      <c r="I32" s="14"/>
      <c r="J32" s="14"/>
      <c r="K32" s="14"/>
      <c r="L32" s="14"/>
      <c r="M32" s="14"/>
      <c r="N32" s="14"/>
      <c r="O32" s="14"/>
      <c r="P32" s="14"/>
      <c r="Q32" s="14"/>
      <c r="R32" s="14"/>
      <c r="S32" s="14"/>
      <c r="T32" s="14"/>
      <c r="U32" s="14"/>
      <c r="V32" s="14"/>
      <c r="W32" s="14"/>
      <c r="X32" s="14"/>
      <c r="Y32" s="14"/>
      <c r="Z32" s="14"/>
      <c r="AA32" s="14"/>
      <c r="AB32" s="14"/>
      <c r="AC32" s="14"/>
      <c r="AD32" s="14"/>
    </row>
    <row r="33" spans="1:30" x14ac:dyDescent="0.3">
      <c r="A33" s="14"/>
      <c r="B33" s="14"/>
      <c r="C33" s="14"/>
      <c r="D33" s="14"/>
      <c r="E33" s="14"/>
      <c r="F33" s="14"/>
      <c r="G33" s="14"/>
      <c r="H33" s="14"/>
      <c r="I33" s="14"/>
      <c r="J33" s="14"/>
      <c r="K33" s="14"/>
      <c r="L33" s="14"/>
      <c r="M33" s="14"/>
      <c r="N33" s="14"/>
      <c r="O33" s="14"/>
      <c r="P33" s="14"/>
      <c r="Q33" s="14"/>
      <c r="R33" s="14"/>
      <c r="S33" s="14"/>
      <c r="T33" s="14"/>
      <c r="U33" s="14"/>
      <c r="V33" s="14"/>
      <c r="W33" s="14"/>
      <c r="X33" s="14"/>
      <c r="Y33" s="14"/>
      <c r="Z33" s="14"/>
      <c r="AA33" s="14"/>
      <c r="AB33" s="14"/>
      <c r="AC33" s="14"/>
      <c r="AD33" s="14"/>
    </row>
    <row r="34" spans="1:30" x14ac:dyDescent="0.3">
      <c r="A34" s="14"/>
      <c r="B34" s="14"/>
      <c r="C34" s="14"/>
      <c r="D34" s="14"/>
      <c r="E34" s="14"/>
      <c r="F34" s="14"/>
      <c r="G34" s="14"/>
      <c r="H34" s="14"/>
      <c r="I34" s="14"/>
      <c r="J34" s="14"/>
      <c r="K34" s="14"/>
      <c r="L34" s="14"/>
      <c r="M34" s="14"/>
      <c r="N34" s="14"/>
      <c r="O34" s="14"/>
      <c r="P34" s="14"/>
      <c r="Q34" s="14"/>
      <c r="R34" s="14"/>
      <c r="S34" s="14"/>
      <c r="T34" s="14"/>
      <c r="U34" s="14"/>
      <c r="V34" s="14"/>
      <c r="W34" s="14"/>
      <c r="X34" s="14"/>
      <c r="Y34" s="14"/>
      <c r="Z34" s="14"/>
      <c r="AA34" s="14"/>
      <c r="AB34" s="14"/>
      <c r="AC34" s="14"/>
      <c r="AD34" s="14"/>
    </row>
    <row r="35" spans="1:30" x14ac:dyDescent="0.3">
      <c r="A35" s="14"/>
      <c r="B35" s="14"/>
      <c r="C35" s="14"/>
      <c r="D35" s="14"/>
      <c r="E35" s="14"/>
      <c r="F35" s="14"/>
      <c r="G35" s="14"/>
      <c r="H35" s="14"/>
      <c r="I35" s="14"/>
      <c r="J35" s="14"/>
      <c r="K35" s="14"/>
      <c r="L35" s="14"/>
      <c r="M35" s="14"/>
      <c r="N35" s="14"/>
      <c r="O35" s="14"/>
      <c r="P35" s="14"/>
      <c r="Q35" s="14"/>
      <c r="R35" s="14"/>
      <c r="S35" s="14"/>
      <c r="T35" s="14"/>
      <c r="U35" s="14"/>
      <c r="V35" s="14"/>
      <c r="W35" s="14"/>
      <c r="X35" s="14"/>
      <c r="Y35" s="14"/>
      <c r="Z35" s="14"/>
      <c r="AA35" s="14"/>
      <c r="AB35" s="14"/>
      <c r="AC35" s="14"/>
      <c r="AD35" s="14"/>
    </row>
    <row r="36" spans="1:30" x14ac:dyDescent="0.3">
      <c r="A36" s="14"/>
      <c r="B36" s="14"/>
      <c r="C36" s="14"/>
      <c r="D36" s="14"/>
      <c r="E36" s="14"/>
      <c r="F36" s="14"/>
      <c r="G36" s="14"/>
      <c r="H36" s="14"/>
      <c r="I36" s="14"/>
      <c r="J36" s="14"/>
      <c r="K36" s="14"/>
      <c r="L36" s="14"/>
      <c r="M36" s="14"/>
      <c r="N36" s="14"/>
      <c r="O36" s="14"/>
      <c r="P36" s="14"/>
      <c r="Q36" s="14"/>
      <c r="R36" s="14"/>
      <c r="S36" s="14"/>
      <c r="T36" s="14"/>
      <c r="U36" s="14"/>
      <c r="V36" s="14"/>
      <c r="W36" s="14"/>
      <c r="X36" s="14"/>
      <c r="Y36" s="14"/>
      <c r="Z36" s="14"/>
      <c r="AA36" s="14"/>
      <c r="AB36" s="14"/>
      <c r="AC36" s="14"/>
      <c r="AD36" s="14"/>
    </row>
    <row r="37" spans="1:30" x14ac:dyDescent="0.3">
      <c r="A37" s="14"/>
      <c r="B37" s="14"/>
      <c r="C37" s="14"/>
      <c r="D37" s="14"/>
      <c r="E37" s="14"/>
      <c r="F37" s="14"/>
      <c r="G37" s="14"/>
      <c r="H37" s="14"/>
      <c r="I37" s="14"/>
      <c r="J37" s="14"/>
      <c r="K37" s="14"/>
      <c r="L37" s="14"/>
      <c r="M37" s="14"/>
      <c r="N37" s="14"/>
      <c r="O37" s="14"/>
      <c r="P37" s="14"/>
      <c r="Q37" s="14"/>
      <c r="R37" s="14"/>
      <c r="S37" s="14"/>
      <c r="T37" s="14"/>
      <c r="U37" s="14"/>
      <c r="V37" s="14"/>
      <c r="W37" s="14"/>
      <c r="X37" s="14"/>
      <c r="Y37" s="14"/>
      <c r="Z37" s="14"/>
      <c r="AA37" s="14"/>
      <c r="AB37" s="14"/>
      <c r="AC37" s="14"/>
      <c r="AD37" s="14"/>
    </row>
    <row r="38" spans="1:30" x14ac:dyDescent="0.3">
      <c r="A38" s="14"/>
      <c r="B38" s="14"/>
      <c r="C38" s="14"/>
      <c r="D38" s="14"/>
      <c r="E38" s="14"/>
      <c r="F38" s="14"/>
      <c r="G38" s="14"/>
      <c r="H38" s="14"/>
      <c r="I38" s="14"/>
      <c r="J38" s="14"/>
      <c r="K38" s="14"/>
      <c r="L38" s="14"/>
      <c r="M38" s="14"/>
      <c r="N38" s="14"/>
      <c r="O38" s="14"/>
      <c r="P38" s="14"/>
      <c r="Q38" s="14"/>
      <c r="R38" s="14"/>
      <c r="S38" s="14"/>
      <c r="T38" s="14"/>
      <c r="U38" s="14"/>
      <c r="V38" s="14"/>
      <c r="W38" s="14"/>
      <c r="X38" s="14"/>
      <c r="Y38" s="14"/>
      <c r="Z38" s="14"/>
      <c r="AA38" s="14"/>
      <c r="AB38" s="14"/>
      <c r="AC38" s="14"/>
      <c r="AD38" s="14"/>
    </row>
    <row r="39" spans="1:30" x14ac:dyDescent="0.3">
      <c r="A39" s="14"/>
      <c r="B39" s="14"/>
      <c r="C39" s="14"/>
      <c r="D39" s="14"/>
      <c r="E39" s="14"/>
      <c r="F39" s="14"/>
      <c r="G39" s="14"/>
      <c r="H39" s="14"/>
      <c r="I39" s="14"/>
      <c r="J39" s="14"/>
      <c r="K39" s="14"/>
      <c r="L39" s="14"/>
      <c r="M39" s="14"/>
      <c r="N39" s="14"/>
      <c r="O39" s="14"/>
      <c r="P39" s="14"/>
      <c r="Q39" s="14"/>
      <c r="R39" s="14"/>
      <c r="S39" s="14"/>
      <c r="T39" s="14"/>
      <c r="U39" s="14"/>
      <c r="V39" s="14"/>
      <c r="W39" s="14"/>
      <c r="X39" s="14"/>
      <c r="Y39" s="14"/>
      <c r="Z39" s="14"/>
      <c r="AA39" s="14"/>
      <c r="AB39" s="14"/>
      <c r="AC39" s="14"/>
      <c r="AD39" s="14"/>
    </row>
    <row r="40" spans="1:30" x14ac:dyDescent="0.3">
      <c r="A40" s="14"/>
      <c r="B40" s="14"/>
      <c r="C40" s="14"/>
      <c r="D40" s="14"/>
      <c r="E40" s="14"/>
      <c r="F40" s="14"/>
      <c r="G40" s="14"/>
      <c r="H40" s="14"/>
      <c r="I40" s="14"/>
      <c r="J40" s="14"/>
      <c r="K40" s="14"/>
      <c r="L40" s="14"/>
      <c r="M40" s="14"/>
      <c r="N40" s="14"/>
      <c r="O40" s="14"/>
      <c r="P40" s="14"/>
      <c r="Q40" s="14"/>
      <c r="R40" s="14"/>
      <c r="S40" s="14"/>
      <c r="T40" s="14"/>
      <c r="U40" s="14"/>
      <c r="V40" s="14"/>
      <c r="W40" s="14"/>
      <c r="X40" s="14"/>
      <c r="Y40" s="14"/>
      <c r="Z40" s="14"/>
      <c r="AA40" s="14"/>
      <c r="AB40" s="14"/>
      <c r="AC40" s="14"/>
      <c r="AD40" s="14"/>
    </row>
    <row r="41" spans="1:30" x14ac:dyDescent="0.3">
      <c r="A41" s="14"/>
      <c r="B41" s="14"/>
      <c r="C41" s="14"/>
      <c r="D41" s="14"/>
      <c r="E41" s="14"/>
      <c r="F41" s="14"/>
      <c r="G41" s="14"/>
      <c r="H41" s="14"/>
      <c r="I41" s="14"/>
      <c r="J41" s="14"/>
      <c r="K41" s="14"/>
      <c r="L41" s="14"/>
      <c r="M41" s="14"/>
      <c r="N41" s="14"/>
      <c r="O41" s="14"/>
      <c r="P41" s="14"/>
      <c r="Q41" s="14"/>
      <c r="R41" s="14"/>
      <c r="S41" s="14"/>
      <c r="T41" s="14"/>
      <c r="U41" s="14"/>
      <c r="V41" s="14"/>
      <c r="W41" s="14"/>
      <c r="X41" s="14"/>
      <c r="Y41" s="14"/>
      <c r="Z41" s="14"/>
      <c r="AA41" s="14"/>
      <c r="AB41" s="14"/>
      <c r="AC41" s="14"/>
      <c r="AD41" s="14"/>
    </row>
    <row r="42" spans="1:30" x14ac:dyDescent="0.3">
      <c r="A42" s="14"/>
      <c r="B42" s="14"/>
      <c r="C42" s="14"/>
      <c r="D42" s="14"/>
      <c r="E42" s="14"/>
      <c r="F42" s="14"/>
      <c r="G42" s="14"/>
      <c r="H42" s="14"/>
      <c r="I42" s="14"/>
      <c r="J42" s="14"/>
      <c r="K42" s="14"/>
      <c r="L42" s="14"/>
      <c r="M42" s="14"/>
      <c r="N42" s="14"/>
      <c r="O42" s="14"/>
      <c r="P42" s="14"/>
      <c r="Q42" s="14"/>
      <c r="R42" s="14"/>
      <c r="S42" s="14"/>
      <c r="T42" s="14"/>
      <c r="U42" s="14"/>
      <c r="V42" s="14"/>
      <c r="W42" s="14"/>
      <c r="X42" s="14"/>
      <c r="Y42" s="14"/>
      <c r="Z42" s="14"/>
      <c r="AA42" s="14"/>
      <c r="AB42" s="14"/>
      <c r="AC42" s="14"/>
      <c r="AD42" s="14"/>
    </row>
    <row r="43" spans="1:30" x14ac:dyDescent="0.3">
      <c r="A43" s="14"/>
      <c r="B43" s="14"/>
      <c r="C43" s="14"/>
      <c r="D43" s="14"/>
      <c r="E43" s="14"/>
      <c r="F43" s="14"/>
      <c r="G43" s="14"/>
      <c r="H43" s="14"/>
      <c r="I43" s="14"/>
      <c r="J43" s="14"/>
      <c r="K43" s="14"/>
      <c r="L43" s="14"/>
      <c r="M43" s="14"/>
      <c r="N43" s="14"/>
      <c r="O43" s="14"/>
      <c r="P43" s="14"/>
      <c r="Q43" s="14"/>
      <c r="R43" s="14"/>
      <c r="S43" s="14"/>
      <c r="T43" s="14"/>
      <c r="U43" s="14"/>
      <c r="V43" s="14"/>
      <c r="W43" s="14"/>
      <c r="X43" s="14"/>
      <c r="Y43" s="14"/>
      <c r="Z43" s="14"/>
      <c r="AA43" s="14"/>
      <c r="AB43" s="14"/>
      <c r="AC43" s="14"/>
      <c r="AD43" s="14"/>
    </row>
    <row r="44" spans="1:30" x14ac:dyDescent="0.3">
      <c r="A44" s="14"/>
      <c r="B44" s="14"/>
      <c r="C44" s="14"/>
      <c r="D44" s="14"/>
      <c r="E44" s="14"/>
      <c r="F44" s="14"/>
      <c r="G44" s="14"/>
      <c r="H44" s="14"/>
      <c r="I44" s="14"/>
      <c r="J44" s="14"/>
      <c r="K44" s="14"/>
      <c r="L44" s="14"/>
      <c r="M44" s="14"/>
      <c r="N44" s="14"/>
      <c r="O44" s="14"/>
      <c r="P44" s="14"/>
      <c r="Q44" s="14"/>
      <c r="R44" s="14"/>
      <c r="S44" s="14"/>
      <c r="T44" s="14"/>
      <c r="U44" s="14"/>
      <c r="V44" s="14"/>
      <c r="W44" s="14"/>
      <c r="X44" s="14"/>
      <c r="Y44" s="14"/>
      <c r="Z44" s="14"/>
      <c r="AA44" s="14"/>
      <c r="AB44" s="14"/>
      <c r="AC44" s="14"/>
      <c r="AD44" s="14"/>
    </row>
  </sheetData>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09F732-BF20-4FE0-82B9-30352E5BE5F9}">
  <dimension ref="A1:AD44"/>
  <sheetViews>
    <sheetView showGridLines="0" zoomScale="80" zoomScaleNormal="80" workbookViewId="0">
      <selection activeCell="T48" sqref="T48"/>
    </sheetView>
  </sheetViews>
  <sheetFormatPr defaultRowHeight="14.4" x14ac:dyDescent="0.3"/>
  <cols>
    <col min="30" max="30" width="2.88671875" customWidth="1"/>
  </cols>
  <sheetData>
    <row r="1" spans="1:30" x14ac:dyDescent="0.3">
      <c r="A1" s="15"/>
      <c r="B1" s="15"/>
      <c r="C1" s="15"/>
      <c r="D1" s="15"/>
      <c r="E1" s="15"/>
      <c r="F1" s="15"/>
      <c r="G1" s="15"/>
      <c r="H1" s="15"/>
      <c r="I1" s="15"/>
      <c r="J1" s="15"/>
      <c r="K1" s="15"/>
      <c r="L1" s="15"/>
      <c r="M1" s="15"/>
      <c r="N1" s="15"/>
      <c r="O1" s="15"/>
      <c r="P1" s="15"/>
      <c r="Q1" s="15"/>
      <c r="R1" s="15"/>
      <c r="S1" s="15"/>
      <c r="T1" s="15"/>
      <c r="U1" s="15"/>
      <c r="V1" s="15"/>
      <c r="W1" s="15"/>
      <c r="X1" s="15"/>
      <c r="Y1" s="15"/>
      <c r="Z1" s="15"/>
      <c r="AA1" s="15"/>
      <c r="AB1" s="15"/>
      <c r="AC1" s="15"/>
      <c r="AD1" s="15"/>
    </row>
    <row r="2" spans="1:30" x14ac:dyDescent="0.3">
      <c r="A2" s="15"/>
      <c r="B2" s="15"/>
      <c r="C2" s="15"/>
      <c r="D2" s="15"/>
      <c r="E2" s="15"/>
      <c r="F2" s="15"/>
      <c r="G2" s="15"/>
      <c r="H2" s="15"/>
      <c r="I2" s="15"/>
      <c r="J2" s="15"/>
      <c r="K2" s="15"/>
      <c r="L2" s="15"/>
      <c r="M2" s="15"/>
      <c r="N2" s="15"/>
      <c r="O2" s="15"/>
      <c r="P2" s="15"/>
      <c r="Q2" s="15"/>
      <c r="R2" s="15"/>
      <c r="S2" s="15"/>
      <c r="T2" s="15"/>
      <c r="U2" s="15"/>
      <c r="V2" s="15"/>
      <c r="W2" s="15"/>
      <c r="X2" s="15"/>
      <c r="Y2" s="15"/>
      <c r="Z2" s="15"/>
      <c r="AA2" s="15"/>
      <c r="AB2" s="15"/>
      <c r="AC2" s="15"/>
      <c r="AD2" s="15"/>
    </row>
    <row r="3" spans="1:30" x14ac:dyDescent="0.3">
      <c r="A3" s="15"/>
      <c r="B3" s="15"/>
      <c r="C3" s="15"/>
      <c r="D3" s="15"/>
      <c r="E3" s="15"/>
      <c r="F3" s="15"/>
      <c r="G3" s="15"/>
      <c r="H3" s="15"/>
      <c r="I3" s="15"/>
      <c r="J3" s="15"/>
      <c r="K3" s="15"/>
      <c r="L3" s="15"/>
      <c r="M3" s="15"/>
      <c r="N3" s="15"/>
      <c r="O3" s="15"/>
      <c r="P3" s="15"/>
      <c r="Q3" s="15"/>
      <c r="R3" s="15"/>
      <c r="S3" s="15"/>
      <c r="T3" s="15"/>
      <c r="U3" s="15"/>
      <c r="V3" s="15"/>
      <c r="W3" s="15"/>
      <c r="X3" s="15"/>
      <c r="Y3" s="15"/>
      <c r="Z3" s="15"/>
      <c r="AA3" s="15"/>
      <c r="AB3" s="15"/>
      <c r="AC3" s="15"/>
      <c r="AD3" s="15"/>
    </row>
    <row r="4" spans="1:30" x14ac:dyDescent="0.3">
      <c r="A4" s="15"/>
      <c r="B4" s="15"/>
      <c r="C4" s="15"/>
      <c r="D4" s="15"/>
      <c r="E4" s="15"/>
      <c r="F4" s="15"/>
      <c r="G4" s="15"/>
      <c r="H4" s="15"/>
      <c r="I4" s="15"/>
      <c r="J4" s="15"/>
      <c r="K4" s="15"/>
      <c r="L4" s="15"/>
      <c r="M4" s="15"/>
      <c r="N4" s="15"/>
      <c r="O4" s="15"/>
      <c r="P4" s="15"/>
      <c r="Q4" s="15"/>
      <c r="R4" s="15"/>
      <c r="S4" s="15"/>
      <c r="T4" s="15"/>
      <c r="U4" s="15"/>
      <c r="V4" s="15"/>
      <c r="W4" s="15"/>
      <c r="X4" s="15"/>
      <c r="Y4" s="15"/>
      <c r="Z4" s="15"/>
      <c r="AA4" s="15"/>
      <c r="AB4" s="15"/>
      <c r="AC4" s="15"/>
      <c r="AD4" s="15"/>
    </row>
    <row r="5" spans="1:30" x14ac:dyDescent="0.3">
      <c r="A5" s="15"/>
      <c r="B5" s="15"/>
      <c r="C5" s="15"/>
      <c r="D5" s="15"/>
      <c r="E5" s="15"/>
      <c r="F5" s="15"/>
      <c r="G5" s="15"/>
      <c r="H5" s="15"/>
      <c r="I5" s="15"/>
      <c r="J5" s="15"/>
      <c r="K5" s="15"/>
      <c r="L5" s="15"/>
      <c r="M5" s="15"/>
      <c r="N5" s="15"/>
      <c r="O5" s="15"/>
      <c r="P5" s="15"/>
      <c r="Q5" s="15"/>
      <c r="R5" s="15"/>
      <c r="S5" s="15"/>
      <c r="T5" s="15"/>
      <c r="U5" s="15"/>
      <c r="V5" s="15"/>
      <c r="W5" s="15"/>
      <c r="X5" s="15"/>
      <c r="Y5" s="15"/>
      <c r="Z5" s="15"/>
      <c r="AA5" s="15"/>
      <c r="AB5" s="15"/>
      <c r="AC5" s="15"/>
      <c r="AD5" s="15"/>
    </row>
    <row r="6" spans="1:30" x14ac:dyDescent="0.3">
      <c r="A6" s="15"/>
      <c r="B6" s="15"/>
      <c r="C6" s="15"/>
      <c r="D6" s="15"/>
      <c r="E6" s="15"/>
      <c r="F6" s="15"/>
      <c r="G6" s="15"/>
      <c r="H6" s="15"/>
      <c r="I6" s="15"/>
      <c r="J6" s="15"/>
      <c r="K6" s="15"/>
      <c r="L6" s="15"/>
      <c r="M6" s="15"/>
      <c r="N6" s="15"/>
      <c r="O6" s="15"/>
      <c r="P6" s="15"/>
      <c r="Q6" s="15"/>
      <c r="R6" s="15"/>
      <c r="S6" s="15"/>
      <c r="T6" s="15"/>
      <c r="U6" s="15"/>
      <c r="V6" s="15"/>
      <c r="W6" s="15"/>
      <c r="X6" s="15"/>
      <c r="Y6" s="15"/>
      <c r="Z6" s="15"/>
      <c r="AA6" s="15"/>
      <c r="AB6" s="15"/>
      <c r="AC6" s="15"/>
      <c r="AD6" s="15"/>
    </row>
    <row r="7" spans="1:30" x14ac:dyDescent="0.3">
      <c r="A7" s="15"/>
      <c r="B7" s="15"/>
      <c r="C7" s="15"/>
      <c r="D7" s="15"/>
      <c r="E7" s="15"/>
      <c r="F7" s="15"/>
      <c r="G7" s="15"/>
      <c r="H7" s="15"/>
      <c r="I7" s="15"/>
      <c r="J7" s="15"/>
      <c r="K7" s="15"/>
      <c r="L7" s="15"/>
      <c r="M7" s="15"/>
      <c r="N7" s="15"/>
      <c r="O7" s="15"/>
      <c r="P7" s="15"/>
      <c r="Q7" s="15"/>
      <c r="R7" s="15"/>
      <c r="S7" s="15"/>
      <c r="T7" s="15"/>
      <c r="U7" s="15"/>
      <c r="V7" s="15"/>
      <c r="W7" s="15"/>
      <c r="X7" s="15"/>
      <c r="Y7" s="15"/>
      <c r="Z7" s="15"/>
      <c r="AA7" s="15"/>
      <c r="AB7" s="15"/>
      <c r="AC7" s="15"/>
      <c r="AD7" s="15"/>
    </row>
    <row r="8" spans="1:30" x14ac:dyDescent="0.3">
      <c r="A8" s="15"/>
      <c r="B8" s="15"/>
      <c r="C8" s="15"/>
      <c r="D8" s="15"/>
      <c r="E8" s="15"/>
      <c r="F8" s="15"/>
      <c r="G8" s="15"/>
      <c r="H8" s="15"/>
      <c r="I8" s="15"/>
      <c r="J8" s="15"/>
      <c r="K8" s="15"/>
      <c r="L8" s="15"/>
      <c r="M8" s="15"/>
      <c r="N8" s="15"/>
      <c r="O8" s="15"/>
      <c r="P8" s="15"/>
      <c r="Q8" s="15"/>
      <c r="R8" s="15"/>
      <c r="S8" s="15"/>
      <c r="T8" s="15"/>
      <c r="U8" s="15"/>
      <c r="V8" s="15"/>
      <c r="W8" s="15"/>
      <c r="X8" s="15"/>
      <c r="Y8" s="15"/>
      <c r="Z8" s="15"/>
      <c r="AA8" s="15"/>
      <c r="AB8" s="15"/>
      <c r="AC8" s="15"/>
      <c r="AD8" s="15"/>
    </row>
    <row r="9" spans="1:30" x14ac:dyDescent="0.3">
      <c r="A9" s="15"/>
      <c r="B9" s="15"/>
      <c r="C9" s="15"/>
      <c r="D9" s="15"/>
      <c r="E9" s="15"/>
      <c r="F9" s="15"/>
      <c r="G9" s="15"/>
      <c r="H9" s="15"/>
      <c r="I9" s="15"/>
      <c r="J9" s="15"/>
      <c r="K9" s="15"/>
      <c r="L9" s="15"/>
      <c r="M9" s="15"/>
      <c r="N9" s="15"/>
      <c r="O9" s="15"/>
      <c r="P9" s="15"/>
      <c r="Q9" s="15"/>
      <c r="R9" s="15"/>
      <c r="S9" s="15"/>
      <c r="T9" s="15"/>
      <c r="U9" s="15"/>
      <c r="V9" s="15"/>
      <c r="W9" s="15"/>
      <c r="X9" s="15"/>
      <c r="Y9" s="15"/>
      <c r="Z9" s="15"/>
      <c r="AA9" s="15"/>
      <c r="AB9" s="15"/>
      <c r="AC9" s="15"/>
      <c r="AD9" s="15"/>
    </row>
    <row r="10" spans="1:30" x14ac:dyDescent="0.3">
      <c r="A10" s="15"/>
      <c r="B10" s="15"/>
      <c r="C10" s="15"/>
      <c r="D10" s="15"/>
      <c r="E10" s="15"/>
      <c r="F10" s="15"/>
      <c r="G10" s="15"/>
      <c r="H10" s="15"/>
      <c r="I10" s="15"/>
      <c r="J10" s="15"/>
      <c r="K10" s="15"/>
      <c r="L10" s="15"/>
      <c r="M10" s="15"/>
      <c r="N10" s="15"/>
      <c r="O10" s="15"/>
      <c r="P10" s="15"/>
      <c r="Q10" s="15"/>
      <c r="R10" s="15"/>
      <c r="S10" s="15"/>
      <c r="T10" s="15"/>
      <c r="U10" s="15"/>
      <c r="V10" s="15"/>
      <c r="W10" s="15"/>
      <c r="X10" s="15"/>
      <c r="Y10" s="15"/>
      <c r="Z10" s="15"/>
      <c r="AA10" s="15"/>
      <c r="AB10" s="15"/>
      <c r="AC10" s="15"/>
      <c r="AD10" s="15"/>
    </row>
    <row r="11" spans="1:30" x14ac:dyDescent="0.3">
      <c r="A11" s="15"/>
      <c r="B11" s="15"/>
      <c r="C11" s="15"/>
      <c r="D11" s="15"/>
      <c r="E11" s="15"/>
      <c r="F11" s="15"/>
      <c r="G11" s="15"/>
      <c r="H11" s="15"/>
      <c r="I11" s="15"/>
      <c r="J11" s="15"/>
      <c r="K11" s="15"/>
      <c r="L11" s="15"/>
      <c r="M11" s="15"/>
      <c r="N11" s="15"/>
      <c r="O11" s="15"/>
      <c r="P11" s="15"/>
      <c r="Q11" s="15"/>
      <c r="R11" s="15"/>
      <c r="S11" s="15"/>
      <c r="T11" s="15"/>
      <c r="U11" s="15"/>
      <c r="V11" s="15"/>
      <c r="W11" s="15"/>
      <c r="X11" s="15"/>
      <c r="Y11" s="15"/>
      <c r="Z11" s="15"/>
      <c r="AA11" s="15"/>
      <c r="AB11" s="15"/>
      <c r="AC11" s="15"/>
      <c r="AD11" s="15"/>
    </row>
    <row r="12" spans="1:30" x14ac:dyDescent="0.3">
      <c r="A12" s="15"/>
      <c r="B12" s="15"/>
      <c r="C12" s="15"/>
      <c r="D12" s="15"/>
      <c r="E12" s="15"/>
      <c r="F12" s="15"/>
      <c r="G12" s="15"/>
      <c r="H12" s="15"/>
      <c r="I12" s="15"/>
      <c r="J12" s="15"/>
      <c r="K12" s="15"/>
      <c r="L12" s="15"/>
      <c r="M12" s="15"/>
      <c r="N12" s="15"/>
      <c r="O12" s="15"/>
      <c r="P12" s="15"/>
      <c r="Q12" s="15"/>
      <c r="R12" s="15"/>
      <c r="S12" s="15"/>
      <c r="T12" s="15"/>
      <c r="U12" s="15"/>
      <c r="V12" s="15"/>
      <c r="W12" s="15"/>
      <c r="X12" s="15"/>
      <c r="Y12" s="15"/>
      <c r="Z12" s="15"/>
      <c r="AA12" s="15"/>
      <c r="AB12" s="15"/>
      <c r="AC12" s="15"/>
      <c r="AD12" s="15"/>
    </row>
    <row r="13" spans="1:30" x14ac:dyDescent="0.3">
      <c r="A13" s="15"/>
      <c r="B13" s="15"/>
      <c r="C13" s="15"/>
      <c r="D13" s="15"/>
      <c r="E13" s="15"/>
      <c r="F13" s="15"/>
      <c r="G13" s="15"/>
      <c r="H13" s="15"/>
      <c r="I13" s="15"/>
      <c r="J13" s="15"/>
      <c r="K13" s="15"/>
      <c r="L13" s="15"/>
      <c r="M13" s="15"/>
      <c r="N13" s="15"/>
      <c r="O13" s="15"/>
      <c r="P13" s="15"/>
      <c r="Q13" s="15"/>
      <c r="R13" s="15"/>
      <c r="S13" s="15"/>
      <c r="T13" s="15"/>
      <c r="U13" s="15"/>
      <c r="V13" s="15"/>
      <c r="W13" s="15"/>
      <c r="X13" s="15"/>
      <c r="Y13" s="15"/>
      <c r="Z13" s="15"/>
      <c r="AA13" s="15"/>
      <c r="AB13" s="15"/>
      <c r="AC13" s="15"/>
      <c r="AD13" s="15"/>
    </row>
    <row r="14" spans="1:30" x14ac:dyDescent="0.3">
      <c r="A14" s="15"/>
      <c r="B14" s="15"/>
      <c r="C14" s="15"/>
      <c r="D14" s="15"/>
      <c r="E14" s="15"/>
      <c r="F14" s="15"/>
      <c r="G14" s="15"/>
      <c r="H14" s="15"/>
      <c r="I14" s="15"/>
      <c r="J14" s="15"/>
      <c r="K14" s="15"/>
      <c r="L14" s="15"/>
      <c r="M14" s="15"/>
      <c r="N14" s="15"/>
      <c r="O14" s="15"/>
      <c r="P14" s="15"/>
      <c r="Q14" s="15"/>
      <c r="R14" s="15"/>
      <c r="S14" s="15"/>
      <c r="T14" s="15"/>
      <c r="U14" s="15"/>
      <c r="V14" s="15"/>
      <c r="W14" s="15"/>
      <c r="X14" s="15"/>
      <c r="Y14" s="15"/>
      <c r="Z14" s="15"/>
      <c r="AA14" s="15"/>
      <c r="AB14" s="15"/>
      <c r="AC14" s="15"/>
      <c r="AD14" s="15"/>
    </row>
    <row r="15" spans="1:30" x14ac:dyDescent="0.3">
      <c r="A15" s="15"/>
      <c r="B15" s="15"/>
      <c r="C15" s="15"/>
      <c r="D15" s="15"/>
      <c r="E15" s="15"/>
      <c r="F15" s="15"/>
      <c r="G15" s="15"/>
      <c r="H15" s="15"/>
      <c r="I15" s="15"/>
      <c r="J15" s="15"/>
      <c r="K15" s="15"/>
      <c r="L15" s="15"/>
      <c r="M15" s="15"/>
      <c r="N15" s="15"/>
      <c r="O15" s="15"/>
      <c r="P15" s="15"/>
      <c r="Q15" s="15"/>
      <c r="R15" s="15"/>
      <c r="S15" s="15"/>
      <c r="T15" s="15"/>
      <c r="U15" s="15"/>
      <c r="V15" s="15"/>
      <c r="W15" s="15"/>
      <c r="X15" s="15"/>
      <c r="Y15" s="15"/>
      <c r="Z15" s="15"/>
      <c r="AA15" s="15"/>
      <c r="AB15" s="15"/>
      <c r="AC15" s="15"/>
      <c r="AD15" s="15"/>
    </row>
    <row r="16" spans="1:30" x14ac:dyDescent="0.3">
      <c r="A16" s="15"/>
      <c r="B16" s="15"/>
      <c r="C16" s="15"/>
      <c r="D16" s="15"/>
      <c r="E16" s="15"/>
      <c r="F16" s="15"/>
      <c r="G16" s="15"/>
      <c r="H16" s="15"/>
      <c r="I16" s="15"/>
      <c r="J16" s="15"/>
      <c r="K16" s="15"/>
      <c r="L16" s="15"/>
      <c r="M16" s="15"/>
      <c r="N16" s="15"/>
      <c r="O16" s="15"/>
      <c r="P16" s="15"/>
      <c r="Q16" s="15"/>
      <c r="R16" s="15"/>
      <c r="S16" s="15"/>
      <c r="T16" s="15"/>
      <c r="U16" s="15"/>
      <c r="V16" s="15"/>
      <c r="W16" s="15"/>
      <c r="X16" s="15"/>
      <c r="Y16" s="15"/>
      <c r="Z16" s="15"/>
      <c r="AA16" s="15"/>
      <c r="AB16" s="15"/>
      <c r="AC16" s="15"/>
      <c r="AD16" s="15"/>
    </row>
    <row r="17" spans="1:30" x14ac:dyDescent="0.3">
      <c r="A17" s="15"/>
      <c r="B17" s="15"/>
      <c r="C17" s="15"/>
      <c r="D17" s="15"/>
      <c r="E17" s="15"/>
      <c r="F17" s="15"/>
      <c r="G17" s="15"/>
      <c r="H17" s="15"/>
      <c r="I17" s="15"/>
      <c r="J17" s="15"/>
      <c r="K17" s="15"/>
      <c r="L17" s="15"/>
      <c r="M17" s="15"/>
      <c r="N17" s="15"/>
      <c r="O17" s="15"/>
      <c r="P17" s="15"/>
      <c r="Q17" s="15"/>
      <c r="R17" s="15"/>
      <c r="S17" s="15"/>
      <c r="T17" s="15"/>
      <c r="U17" s="15"/>
      <c r="V17" s="15"/>
      <c r="W17" s="15"/>
      <c r="X17" s="15"/>
      <c r="Y17" s="15"/>
      <c r="Z17" s="15"/>
      <c r="AA17" s="15"/>
      <c r="AB17" s="15"/>
      <c r="AC17" s="15"/>
      <c r="AD17" s="15"/>
    </row>
    <row r="18" spans="1:30" x14ac:dyDescent="0.3">
      <c r="A18" s="15"/>
      <c r="B18" s="15"/>
      <c r="C18" s="15"/>
      <c r="D18" s="15"/>
      <c r="E18" s="15"/>
      <c r="F18" s="15"/>
      <c r="G18" s="15"/>
      <c r="H18" s="15"/>
      <c r="I18" s="15"/>
      <c r="J18" s="15"/>
      <c r="K18" s="15"/>
      <c r="L18" s="15"/>
      <c r="M18" s="15"/>
      <c r="N18" s="15"/>
      <c r="O18" s="15"/>
      <c r="P18" s="15"/>
      <c r="Q18" s="15"/>
      <c r="R18" s="15"/>
      <c r="S18" s="15"/>
      <c r="T18" s="15"/>
      <c r="U18" s="15"/>
      <c r="V18" s="15"/>
      <c r="W18" s="15"/>
      <c r="X18" s="15"/>
      <c r="Y18" s="15"/>
      <c r="Z18" s="15"/>
      <c r="AA18" s="15"/>
      <c r="AB18" s="15"/>
      <c r="AC18" s="15"/>
      <c r="AD18" s="15"/>
    </row>
    <row r="19" spans="1:30" x14ac:dyDescent="0.3">
      <c r="A19" s="15"/>
      <c r="B19" s="15"/>
      <c r="C19" s="15"/>
      <c r="D19" s="15"/>
      <c r="E19" s="15"/>
      <c r="F19" s="15"/>
      <c r="G19" s="15"/>
      <c r="H19" s="15"/>
      <c r="I19" s="15"/>
      <c r="J19" s="15"/>
      <c r="K19" s="15"/>
      <c r="L19" s="15"/>
      <c r="M19" s="15"/>
      <c r="N19" s="15"/>
      <c r="O19" s="15"/>
      <c r="P19" s="15"/>
      <c r="Q19" s="15"/>
      <c r="R19" s="15"/>
      <c r="S19" s="15"/>
      <c r="T19" s="15"/>
      <c r="U19" s="15"/>
      <c r="V19" s="15"/>
      <c r="W19" s="15"/>
      <c r="X19" s="15"/>
      <c r="Y19" s="15"/>
      <c r="Z19" s="15"/>
      <c r="AA19" s="15"/>
      <c r="AB19" s="15"/>
      <c r="AC19" s="15"/>
      <c r="AD19" s="15"/>
    </row>
    <row r="20" spans="1:30" x14ac:dyDescent="0.3">
      <c r="A20" s="15"/>
      <c r="B20" s="15"/>
      <c r="C20" s="15"/>
      <c r="D20" s="15"/>
      <c r="E20" s="15"/>
      <c r="F20" s="15"/>
      <c r="G20" s="15"/>
      <c r="H20" s="15"/>
      <c r="I20" s="15"/>
      <c r="J20" s="15"/>
      <c r="K20" s="15"/>
      <c r="L20" s="15"/>
      <c r="M20" s="15"/>
      <c r="N20" s="15"/>
      <c r="O20" s="15"/>
      <c r="P20" s="15"/>
      <c r="Q20" s="15"/>
      <c r="R20" s="15"/>
      <c r="S20" s="15"/>
      <c r="T20" s="15"/>
      <c r="U20" s="15"/>
      <c r="V20" s="15"/>
      <c r="W20" s="15"/>
      <c r="X20" s="15"/>
      <c r="Y20" s="15"/>
      <c r="Z20" s="15"/>
      <c r="AA20" s="15"/>
      <c r="AB20" s="15"/>
      <c r="AC20" s="15"/>
      <c r="AD20" s="15"/>
    </row>
    <row r="21" spans="1:30" x14ac:dyDescent="0.3">
      <c r="A21" s="15"/>
      <c r="B21" s="15"/>
      <c r="C21" s="15"/>
      <c r="D21" s="15"/>
      <c r="E21" s="15"/>
      <c r="F21" s="15"/>
      <c r="G21" s="15"/>
      <c r="H21" s="15"/>
      <c r="I21" s="15"/>
      <c r="J21" s="15"/>
      <c r="K21" s="15"/>
      <c r="L21" s="15"/>
      <c r="M21" s="15"/>
      <c r="N21" s="15"/>
      <c r="O21" s="15"/>
      <c r="P21" s="15"/>
      <c r="Q21" s="15"/>
      <c r="R21" s="15"/>
      <c r="S21" s="15"/>
      <c r="T21" s="15"/>
      <c r="U21" s="15"/>
      <c r="V21" s="15"/>
      <c r="W21" s="15"/>
      <c r="X21" s="15"/>
      <c r="Y21" s="15"/>
      <c r="Z21" s="15"/>
      <c r="AA21" s="15"/>
      <c r="AB21" s="15"/>
      <c r="AC21" s="15"/>
      <c r="AD21" s="15"/>
    </row>
    <row r="22" spans="1:30" x14ac:dyDescent="0.3">
      <c r="A22" s="15"/>
      <c r="B22" s="15"/>
      <c r="C22" s="15"/>
      <c r="D22" s="15"/>
      <c r="E22" s="15"/>
      <c r="F22" s="15"/>
      <c r="G22" s="15"/>
      <c r="H22" s="15"/>
      <c r="I22" s="15"/>
      <c r="J22" s="15"/>
      <c r="K22" s="15"/>
      <c r="L22" s="15"/>
      <c r="M22" s="15"/>
      <c r="N22" s="15"/>
      <c r="O22" s="15"/>
      <c r="P22" s="15"/>
      <c r="Q22" s="15"/>
      <c r="R22" s="15"/>
      <c r="S22" s="15"/>
      <c r="T22" s="15"/>
      <c r="U22" s="15"/>
      <c r="V22" s="15"/>
      <c r="W22" s="15"/>
      <c r="X22" s="15"/>
      <c r="Y22" s="15"/>
      <c r="Z22" s="15"/>
      <c r="AA22" s="15"/>
      <c r="AB22" s="15"/>
      <c r="AC22" s="15"/>
      <c r="AD22" s="15"/>
    </row>
    <row r="23" spans="1:30" x14ac:dyDescent="0.3">
      <c r="A23" s="15"/>
      <c r="B23" s="15"/>
      <c r="C23" s="15"/>
      <c r="D23" s="15"/>
      <c r="E23" s="15"/>
      <c r="F23" s="15"/>
      <c r="G23" s="15"/>
      <c r="H23" s="15"/>
      <c r="I23" s="15"/>
      <c r="J23" s="15"/>
      <c r="K23" s="15"/>
      <c r="L23" s="15"/>
      <c r="M23" s="15"/>
      <c r="N23" s="15"/>
      <c r="O23" s="15"/>
      <c r="P23" s="15"/>
      <c r="Q23" s="15"/>
      <c r="R23" s="15"/>
      <c r="S23" s="15"/>
      <c r="T23" s="15"/>
      <c r="U23" s="15"/>
      <c r="V23" s="15"/>
      <c r="W23" s="15"/>
      <c r="X23" s="15"/>
      <c r="Y23" s="15"/>
      <c r="Z23" s="15"/>
      <c r="AA23" s="15"/>
      <c r="AB23" s="15"/>
      <c r="AC23" s="15"/>
      <c r="AD23" s="15"/>
    </row>
    <row r="24" spans="1:30" x14ac:dyDescent="0.3">
      <c r="A24" s="15"/>
      <c r="B24" s="15"/>
      <c r="C24" s="15"/>
      <c r="D24" s="15"/>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row>
    <row r="25" spans="1:30" x14ac:dyDescent="0.3">
      <c r="A25" s="15"/>
      <c r="B25" s="15"/>
      <c r="C25" s="15"/>
      <c r="D25" s="15"/>
      <c r="E25" s="15"/>
      <c r="F25" s="15"/>
      <c r="G25" s="15"/>
      <c r="H25" s="15"/>
      <c r="I25" s="15"/>
      <c r="J25" s="15"/>
      <c r="K25" s="15"/>
      <c r="L25" s="15"/>
      <c r="M25" s="15"/>
      <c r="N25" s="15"/>
      <c r="O25" s="15"/>
      <c r="P25" s="15"/>
      <c r="Q25" s="15"/>
      <c r="R25" s="15"/>
      <c r="S25" s="15"/>
      <c r="T25" s="15"/>
      <c r="U25" s="15"/>
      <c r="V25" s="15"/>
      <c r="W25" s="15"/>
      <c r="X25" s="15"/>
      <c r="Y25" s="15"/>
      <c r="Z25" s="15"/>
      <c r="AA25" s="15"/>
      <c r="AB25" s="15"/>
      <c r="AC25" s="15"/>
      <c r="AD25" s="15"/>
    </row>
    <row r="26" spans="1:30" x14ac:dyDescent="0.3">
      <c r="A26" s="15"/>
      <c r="B26" s="15"/>
      <c r="C26" s="15"/>
      <c r="D26" s="15"/>
      <c r="E26" s="15"/>
      <c r="F26" s="15"/>
      <c r="G26" s="15"/>
      <c r="H26" s="15"/>
      <c r="I26" s="15"/>
      <c r="J26" s="15"/>
      <c r="K26" s="15"/>
      <c r="L26" s="15"/>
      <c r="M26" s="15"/>
      <c r="N26" s="15"/>
      <c r="O26" s="15"/>
      <c r="P26" s="15"/>
      <c r="Q26" s="15"/>
      <c r="R26" s="15"/>
      <c r="S26" s="15"/>
      <c r="T26" s="15"/>
      <c r="U26" s="15"/>
      <c r="V26" s="15"/>
      <c r="W26" s="15"/>
      <c r="X26" s="15"/>
      <c r="Y26" s="15"/>
      <c r="Z26" s="15"/>
      <c r="AA26" s="15"/>
      <c r="AB26" s="15"/>
      <c r="AC26" s="15"/>
      <c r="AD26" s="15"/>
    </row>
    <row r="27" spans="1:30" x14ac:dyDescent="0.3">
      <c r="A27" s="15"/>
      <c r="B27" s="15"/>
      <c r="C27" s="15"/>
      <c r="D27" s="15"/>
      <c r="E27" s="15"/>
      <c r="F27" s="15"/>
      <c r="G27" s="15"/>
      <c r="H27" s="15"/>
      <c r="I27" s="15"/>
      <c r="J27" s="15"/>
      <c r="K27" s="15"/>
      <c r="L27" s="15"/>
      <c r="M27" s="15"/>
      <c r="N27" s="15"/>
      <c r="O27" s="15"/>
      <c r="P27" s="15"/>
      <c r="Q27" s="15"/>
      <c r="R27" s="15"/>
      <c r="S27" s="15"/>
      <c r="T27" s="15"/>
      <c r="U27" s="15"/>
      <c r="V27" s="15"/>
      <c r="W27" s="15"/>
      <c r="X27" s="15"/>
      <c r="Y27" s="15"/>
      <c r="Z27" s="15"/>
      <c r="AA27" s="15"/>
      <c r="AB27" s="15"/>
      <c r="AC27" s="15"/>
      <c r="AD27" s="15"/>
    </row>
    <row r="28" spans="1:30" x14ac:dyDescent="0.3">
      <c r="A28" s="15"/>
      <c r="B28" s="15"/>
      <c r="C28" s="15"/>
      <c r="D28" s="15"/>
      <c r="E28" s="15"/>
      <c r="F28" s="15"/>
      <c r="G28" s="15"/>
      <c r="H28" s="15"/>
      <c r="I28" s="15"/>
      <c r="J28" s="15"/>
      <c r="K28" s="15"/>
      <c r="L28" s="15"/>
      <c r="M28" s="15"/>
      <c r="N28" s="15"/>
      <c r="O28" s="15"/>
      <c r="P28" s="15"/>
      <c r="Q28" s="15"/>
      <c r="R28" s="15"/>
      <c r="S28" s="15"/>
      <c r="T28" s="15"/>
      <c r="U28" s="15"/>
      <c r="V28" s="15"/>
      <c r="W28" s="15"/>
      <c r="X28" s="15"/>
      <c r="Y28" s="15"/>
      <c r="Z28" s="15"/>
      <c r="AA28" s="15"/>
      <c r="AB28" s="15"/>
      <c r="AC28" s="15"/>
      <c r="AD28" s="15"/>
    </row>
    <row r="29" spans="1:30" x14ac:dyDescent="0.3">
      <c r="A29" s="15"/>
      <c r="B29" s="15"/>
      <c r="C29" s="15"/>
      <c r="D29" s="15"/>
      <c r="E29" s="15"/>
      <c r="F29" s="15"/>
      <c r="G29" s="15"/>
      <c r="H29" s="15"/>
      <c r="I29" s="15"/>
      <c r="J29" s="15"/>
      <c r="K29" s="15"/>
      <c r="L29" s="15"/>
      <c r="M29" s="15"/>
      <c r="N29" s="15"/>
      <c r="O29" s="15"/>
      <c r="P29" s="15"/>
      <c r="Q29" s="15"/>
      <c r="R29" s="15"/>
      <c r="S29" s="15"/>
      <c r="T29" s="15"/>
      <c r="U29" s="15"/>
      <c r="V29" s="15"/>
      <c r="W29" s="15"/>
      <c r="X29" s="15"/>
      <c r="Y29" s="15"/>
      <c r="Z29" s="15"/>
      <c r="AA29" s="15"/>
      <c r="AB29" s="15"/>
      <c r="AC29" s="15"/>
      <c r="AD29" s="15"/>
    </row>
    <row r="30" spans="1:30" x14ac:dyDescent="0.3">
      <c r="A30" s="15"/>
      <c r="B30" s="15"/>
      <c r="C30" s="15"/>
      <c r="D30" s="15"/>
      <c r="E30" s="15"/>
      <c r="F30" s="15"/>
      <c r="G30" s="15"/>
      <c r="H30" s="15"/>
      <c r="I30" s="15"/>
      <c r="J30" s="15"/>
      <c r="K30" s="15"/>
      <c r="L30" s="15"/>
      <c r="M30" s="15"/>
      <c r="N30" s="15"/>
      <c r="O30" s="15"/>
      <c r="P30" s="15"/>
      <c r="Q30" s="15"/>
      <c r="R30" s="15"/>
      <c r="S30" s="15"/>
      <c r="T30" s="15"/>
      <c r="U30" s="15"/>
      <c r="V30" s="15"/>
      <c r="W30" s="15"/>
      <c r="X30" s="15"/>
      <c r="Y30" s="15"/>
      <c r="Z30" s="15"/>
      <c r="AA30" s="15"/>
      <c r="AB30" s="15"/>
      <c r="AC30" s="15"/>
      <c r="AD30" s="15"/>
    </row>
    <row r="31" spans="1:30" x14ac:dyDescent="0.3">
      <c r="A31" s="15"/>
      <c r="B31" s="15"/>
      <c r="C31" s="15"/>
      <c r="D31" s="15"/>
      <c r="E31" s="15"/>
      <c r="F31" s="15"/>
      <c r="G31" s="15"/>
      <c r="H31" s="15"/>
      <c r="I31" s="15"/>
      <c r="J31" s="15"/>
      <c r="K31" s="15"/>
      <c r="L31" s="15"/>
      <c r="M31" s="15"/>
      <c r="N31" s="15"/>
      <c r="O31" s="15"/>
      <c r="P31" s="15"/>
      <c r="Q31" s="15"/>
      <c r="R31" s="15"/>
      <c r="S31" s="15"/>
      <c r="T31" s="15"/>
      <c r="U31" s="15"/>
      <c r="V31" s="15"/>
      <c r="W31" s="15"/>
      <c r="X31" s="15"/>
      <c r="Y31" s="15"/>
      <c r="Z31" s="15"/>
      <c r="AA31" s="15"/>
      <c r="AB31" s="15"/>
      <c r="AC31" s="15"/>
      <c r="AD31" s="15"/>
    </row>
    <row r="32" spans="1:30" x14ac:dyDescent="0.3">
      <c r="A32" s="15"/>
      <c r="B32" s="15"/>
      <c r="C32" s="15"/>
      <c r="D32" s="15"/>
      <c r="E32" s="15"/>
      <c r="F32" s="15"/>
      <c r="G32" s="15"/>
      <c r="H32" s="15"/>
      <c r="I32" s="15"/>
      <c r="J32" s="15"/>
      <c r="K32" s="15"/>
      <c r="L32" s="15"/>
      <c r="M32" s="15"/>
      <c r="N32" s="15"/>
      <c r="O32" s="15"/>
      <c r="P32" s="15"/>
      <c r="Q32" s="15"/>
      <c r="R32" s="15"/>
      <c r="S32" s="15"/>
      <c r="T32" s="15"/>
      <c r="U32" s="15"/>
      <c r="V32" s="15"/>
      <c r="W32" s="15"/>
      <c r="X32" s="15"/>
      <c r="Y32" s="15"/>
      <c r="Z32" s="15"/>
      <c r="AA32" s="15"/>
      <c r="AB32" s="15"/>
      <c r="AC32" s="15"/>
      <c r="AD32" s="15"/>
    </row>
    <row r="33" spans="1:30" x14ac:dyDescent="0.3">
      <c r="A33" s="15"/>
      <c r="B33" s="15"/>
      <c r="C33" s="15"/>
      <c r="D33" s="15"/>
      <c r="E33" s="15"/>
      <c r="F33" s="15"/>
      <c r="G33" s="15"/>
      <c r="H33" s="15"/>
      <c r="I33" s="15"/>
      <c r="J33" s="15"/>
      <c r="K33" s="15"/>
      <c r="L33" s="15"/>
      <c r="M33" s="15"/>
      <c r="N33" s="15"/>
      <c r="O33" s="15"/>
      <c r="P33" s="15"/>
      <c r="Q33" s="15"/>
      <c r="R33" s="15"/>
      <c r="S33" s="15"/>
      <c r="T33" s="15"/>
      <c r="U33" s="15"/>
      <c r="V33" s="15"/>
      <c r="W33" s="15"/>
      <c r="X33" s="15"/>
      <c r="Y33" s="15"/>
      <c r="Z33" s="15"/>
      <c r="AA33" s="15"/>
      <c r="AB33" s="15"/>
      <c r="AC33" s="15"/>
      <c r="AD33" s="15"/>
    </row>
    <row r="34" spans="1:30" x14ac:dyDescent="0.3">
      <c r="A34" s="15"/>
      <c r="B34" s="15"/>
      <c r="C34" s="15"/>
      <c r="D34" s="15"/>
      <c r="E34" s="15"/>
      <c r="F34" s="15"/>
      <c r="G34" s="15"/>
      <c r="H34" s="15"/>
      <c r="I34" s="15"/>
      <c r="J34" s="15"/>
      <c r="K34" s="15"/>
      <c r="L34" s="15"/>
      <c r="M34" s="15"/>
      <c r="N34" s="15"/>
      <c r="O34" s="15"/>
      <c r="P34" s="15"/>
      <c r="Q34" s="15"/>
      <c r="R34" s="15"/>
      <c r="S34" s="15"/>
      <c r="T34" s="15"/>
      <c r="U34" s="15"/>
      <c r="V34" s="15"/>
      <c r="W34" s="15"/>
      <c r="X34" s="15"/>
      <c r="Y34" s="15"/>
      <c r="Z34" s="15"/>
      <c r="AA34" s="15"/>
      <c r="AB34" s="15"/>
      <c r="AC34" s="15"/>
      <c r="AD34" s="15"/>
    </row>
    <row r="35" spans="1:30" x14ac:dyDescent="0.3">
      <c r="A35" s="15"/>
      <c r="B35" s="15"/>
      <c r="C35" s="15"/>
      <c r="D35" s="15"/>
      <c r="E35" s="15"/>
      <c r="F35" s="15"/>
      <c r="G35" s="15"/>
      <c r="H35" s="15"/>
      <c r="I35" s="15"/>
      <c r="J35" s="15"/>
      <c r="K35" s="15"/>
      <c r="L35" s="15"/>
      <c r="M35" s="15"/>
      <c r="N35" s="15"/>
      <c r="O35" s="15"/>
      <c r="P35" s="15"/>
      <c r="Q35" s="15"/>
      <c r="R35" s="15"/>
      <c r="S35" s="15"/>
      <c r="T35" s="15"/>
      <c r="U35" s="15"/>
      <c r="V35" s="15"/>
      <c r="W35" s="15"/>
      <c r="X35" s="15"/>
      <c r="Y35" s="15"/>
      <c r="Z35" s="15"/>
      <c r="AA35" s="15"/>
      <c r="AB35" s="15"/>
      <c r="AC35" s="15"/>
      <c r="AD35" s="15"/>
    </row>
    <row r="36" spans="1:30" x14ac:dyDescent="0.3">
      <c r="A36" s="15"/>
      <c r="B36" s="15"/>
      <c r="C36" s="15"/>
      <c r="D36" s="15"/>
      <c r="E36" s="15"/>
      <c r="F36" s="15"/>
      <c r="G36" s="15"/>
      <c r="H36" s="15"/>
      <c r="I36" s="15"/>
      <c r="J36" s="15"/>
      <c r="K36" s="15"/>
      <c r="L36" s="15"/>
      <c r="M36" s="15"/>
      <c r="N36" s="15"/>
      <c r="O36" s="15"/>
      <c r="P36" s="15"/>
      <c r="Q36" s="15"/>
      <c r="R36" s="15"/>
      <c r="S36" s="15"/>
      <c r="T36" s="15"/>
      <c r="U36" s="15"/>
      <c r="V36" s="15"/>
      <c r="W36" s="15"/>
      <c r="X36" s="15"/>
      <c r="Y36" s="15"/>
      <c r="Z36" s="15"/>
      <c r="AA36" s="15"/>
      <c r="AB36" s="15"/>
      <c r="AC36" s="15"/>
      <c r="AD36" s="15"/>
    </row>
    <row r="37" spans="1:30" x14ac:dyDescent="0.3">
      <c r="A37" s="15"/>
      <c r="B37" s="15"/>
      <c r="C37" s="15"/>
      <c r="D37" s="15"/>
      <c r="E37" s="15"/>
      <c r="F37" s="15"/>
      <c r="G37" s="15"/>
      <c r="H37" s="15"/>
      <c r="I37" s="15"/>
      <c r="J37" s="15"/>
      <c r="K37" s="15"/>
      <c r="L37" s="15"/>
      <c r="M37" s="15"/>
      <c r="N37" s="15"/>
      <c r="O37" s="15"/>
      <c r="P37" s="15"/>
      <c r="Q37" s="15"/>
      <c r="R37" s="15"/>
      <c r="S37" s="15"/>
      <c r="T37" s="15"/>
      <c r="U37" s="15"/>
      <c r="V37" s="15"/>
      <c r="W37" s="15"/>
      <c r="X37" s="15"/>
      <c r="Y37" s="15"/>
      <c r="Z37" s="15"/>
      <c r="AA37" s="15"/>
      <c r="AB37" s="15"/>
      <c r="AC37" s="15"/>
      <c r="AD37" s="15"/>
    </row>
    <row r="38" spans="1:30" x14ac:dyDescent="0.3">
      <c r="A38" s="15"/>
      <c r="B38" s="15"/>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row>
    <row r="39" spans="1:30" x14ac:dyDescent="0.3">
      <c r="A39" s="15"/>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row>
    <row r="40" spans="1:30" x14ac:dyDescent="0.3">
      <c r="A40" s="15"/>
      <c r="B40" s="15"/>
      <c r="C40" s="15"/>
      <c r="D40" s="15"/>
      <c r="E40" s="15"/>
      <c r="F40" s="15"/>
      <c r="G40" s="15"/>
      <c r="H40" s="15"/>
      <c r="I40" s="15"/>
      <c r="J40" s="15"/>
      <c r="K40" s="15"/>
      <c r="L40" s="15"/>
      <c r="M40" s="15"/>
      <c r="N40" s="15"/>
      <c r="O40" s="15"/>
      <c r="P40" s="15"/>
      <c r="Q40" s="15"/>
      <c r="R40" s="15"/>
      <c r="S40" s="15"/>
      <c r="T40" s="15"/>
      <c r="U40" s="15"/>
      <c r="V40" s="15"/>
      <c r="W40" s="15"/>
      <c r="X40" s="15"/>
      <c r="Y40" s="15"/>
      <c r="Z40" s="15"/>
      <c r="AA40" s="15"/>
      <c r="AB40" s="15"/>
      <c r="AC40" s="15"/>
      <c r="AD40" s="15"/>
    </row>
    <row r="41" spans="1:30" x14ac:dyDescent="0.3">
      <c r="A41" s="15"/>
      <c r="B41" s="15"/>
      <c r="C41" s="15"/>
      <c r="D41" s="15"/>
      <c r="E41" s="15"/>
      <c r="F41" s="15"/>
      <c r="G41" s="15"/>
      <c r="H41" s="15"/>
      <c r="I41" s="15"/>
      <c r="J41" s="15"/>
      <c r="K41" s="15"/>
      <c r="L41" s="15"/>
      <c r="M41" s="15"/>
      <c r="N41" s="15"/>
      <c r="O41" s="15"/>
      <c r="P41" s="15"/>
      <c r="Q41" s="15"/>
      <c r="R41" s="15"/>
      <c r="S41" s="15"/>
      <c r="T41" s="15"/>
      <c r="U41" s="15"/>
      <c r="V41" s="15"/>
      <c r="W41" s="15"/>
      <c r="X41" s="15"/>
      <c r="Y41" s="15"/>
      <c r="Z41" s="15"/>
      <c r="AA41" s="15"/>
      <c r="AB41" s="15"/>
      <c r="AC41" s="15"/>
      <c r="AD41" s="15"/>
    </row>
    <row r="42" spans="1:30" x14ac:dyDescent="0.3">
      <c r="A42" s="15"/>
      <c r="B42" s="15"/>
      <c r="C42" s="15"/>
      <c r="D42" s="15"/>
      <c r="E42" s="15"/>
      <c r="F42" s="15"/>
      <c r="G42" s="15"/>
      <c r="H42" s="15"/>
      <c r="I42" s="15"/>
      <c r="J42" s="15"/>
      <c r="K42" s="15"/>
      <c r="L42" s="15"/>
      <c r="M42" s="15"/>
      <c r="N42" s="15"/>
      <c r="O42" s="15"/>
      <c r="P42" s="15"/>
      <c r="Q42" s="15"/>
      <c r="R42" s="15"/>
      <c r="S42" s="15"/>
      <c r="T42" s="15"/>
      <c r="U42" s="15"/>
      <c r="V42" s="15"/>
      <c r="W42" s="15"/>
      <c r="X42" s="15"/>
      <c r="Y42" s="15"/>
      <c r="Z42" s="15"/>
      <c r="AA42" s="15"/>
      <c r="AB42" s="15"/>
      <c r="AC42" s="15"/>
      <c r="AD42" s="15"/>
    </row>
    <row r="43" spans="1:30" x14ac:dyDescent="0.3">
      <c r="A43" s="15"/>
      <c r="B43" s="15"/>
      <c r="C43" s="15"/>
      <c r="D43" s="15"/>
      <c r="E43" s="15"/>
      <c r="F43" s="15"/>
      <c r="G43" s="15"/>
      <c r="H43" s="15"/>
      <c r="I43" s="15"/>
      <c r="J43" s="15"/>
      <c r="K43" s="15"/>
      <c r="L43" s="15"/>
      <c r="M43" s="15"/>
      <c r="N43" s="15"/>
      <c r="O43" s="15"/>
      <c r="P43" s="15"/>
      <c r="Q43" s="15"/>
      <c r="R43" s="15"/>
      <c r="S43" s="15"/>
      <c r="T43" s="15"/>
      <c r="U43" s="15"/>
      <c r="V43" s="15"/>
      <c r="W43" s="15"/>
      <c r="X43" s="15"/>
      <c r="Y43" s="15"/>
      <c r="Z43" s="15"/>
      <c r="AA43" s="15"/>
      <c r="AB43" s="15"/>
      <c r="AC43" s="15"/>
      <c r="AD43" s="15"/>
    </row>
    <row r="44" spans="1:30" x14ac:dyDescent="0.3">
      <c r="A44" s="15"/>
      <c r="B44" s="15"/>
      <c r="C44" s="15"/>
      <c r="D44" s="15"/>
      <c r="E44" s="15"/>
      <c r="F44" s="15"/>
      <c r="G44" s="15"/>
      <c r="H44" s="15"/>
      <c r="I44" s="15"/>
      <c r="J44" s="15"/>
      <c r="K44" s="15"/>
      <c r="L44" s="15"/>
      <c r="M44" s="15"/>
      <c r="N44" s="15"/>
      <c r="O44" s="15"/>
      <c r="P44" s="15"/>
      <c r="Q44" s="15"/>
      <c r="R44" s="15"/>
      <c r="S44" s="15"/>
      <c r="T44" s="15"/>
      <c r="U44" s="15"/>
      <c r="V44" s="15"/>
      <c r="W44" s="15"/>
      <c r="X44" s="15"/>
      <c r="Y44" s="15"/>
      <c r="Z44" s="15"/>
      <c r="AA44" s="15"/>
      <c r="AB44" s="15"/>
      <c r="AC44" s="15"/>
      <c r="AD44" s="15"/>
    </row>
  </sheetData>
  <pageMargins left="0.7" right="0.7" top="0.75" bottom="0.75" header="0.3" footer="0.3"/>
  <drawing r:id="rId1"/>
  <legacy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CF5E98-EB79-4131-B807-00179D74BE94}">
  <dimension ref="A2:U278"/>
  <sheetViews>
    <sheetView showGridLines="0" topLeftCell="A55" zoomScale="80" zoomScaleNormal="80" workbookViewId="0">
      <selection activeCell="A86" sqref="A86"/>
    </sheetView>
  </sheetViews>
  <sheetFormatPr defaultRowHeight="14.4" x14ac:dyDescent="0.3"/>
  <cols>
    <col min="1" max="1" width="25.44140625" customWidth="1"/>
    <col min="2" max="2" width="8.44140625" customWidth="1"/>
    <col min="3" max="3" width="23" bestFit="1" customWidth="1"/>
    <col min="4" max="4" width="22.77734375" bestFit="1" customWidth="1"/>
    <col min="5" max="5" width="23" bestFit="1" customWidth="1"/>
    <col min="6" max="6" width="21.88671875" bestFit="1" customWidth="1"/>
    <col min="7" max="7" width="13.33203125" bestFit="1" customWidth="1"/>
    <col min="8" max="8" width="22.109375" bestFit="1" customWidth="1"/>
    <col min="9" max="9" width="18.21875" customWidth="1"/>
    <col min="10" max="10" width="14.77734375" customWidth="1"/>
    <col min="11" max="11" width="19.33203125" customWidth="1"/>
    <col min="12" max="12" width="16.5546875" customWidth="1"/>
    <col min="13" max="13" width="14.109375" customWidth="1"/>
    <col min="14" max="14" width="11.6640625" customWidth="1"/>
    <col min="15" max="15" width="14.21875" customWidth="1"/>
    <col min="16" max="16" width="15.5546875" customWidth="1"/>
    <col min="17" max="17" width="7.33203125" customWidth="1"/>
    <col min="18" max="18" width="9.33203125" bestFit="1" customWidth="1"/>
    <col min="19" max="19" width="9.77734375" customWidth="1"/>
    <col min="20" max="20" width="19.88671875" bestFit="1" customWidth="1"/>
    <col min="21" max="21" width="17.6640625" customWidth="1"/>
    <col min="22" max="22" width="13.77734375" bestFit="1" customWidth="1"/>
    <col min="23" max="23" width="7.33203125" bestFit="1" customWidth="1"/>
    <col min="24" max="24" width="10.21875" bestFit="1" customWidth="1"/>
    <col min="25" max="25" width="12.33203125" bestFit="1" customWidth="1"/>
    <col min="26" max="26" width="7.44140625" bestFit="1" customWidth="1"/>
    <col min="27" max="27" width="12.109375" bestFit="1" customWidth="1"/>
    <col min="28" max="28" width="11.21875" bestFit="1" customWidth="1"/>
    <col min="29" max="29" width="13.5546875" bestFit="1" customWidth="1"/>
    <col min="30" max="30" width="7.77734375" bestFit="1" customWidth="1"/>
    <col min="31" max="31" width="12.44140625" bestFit="1" customWidth="1"/>
    <col min="32" max="32" width="7.33203125" bestFit="1" customWidth="1"/>
    <col min="33" max="33" width="10.21875" bestFit="1" customWidth="1"/>
    <col min="34" max="34" width="9" bestFit="1" customWidth="1"/>
    <col min="35" max="35" width="5.77734375" bestFit="1" customWidth="1"/>
    <col min="36" max="36" width="8.88671875" bestFit="1" customWidth="1"/>
    <col min="37" max="37" width="5.109375" bestFit="1" customWidth="1"/>
    <col min="38" max="38" width="9.33203125" bestFit="1" customWidth="1"/>
    <col min="39" max="39" width="8.5546875" bestFit="1" customWidth="1"/>
    <col min="40" max="40" width="5.88671875" bestFit="1" customWidth="1"/>
    <col min="41" max="41" width="7.6640625" bestFit="1" customWidth="1"/>
    <col min="42" max="42" width="9.109375" bestFit="1" customWidth="1"/>
    <col min="43" max="43" width="11.33203125" bestFit="1" customWidth="1"/>
    <col min="44" max="44" width="18.21875" bestFit="1" customWidth="1"/>
    <col min="45" max="45" width="12.77734375" bestFit="1" customWidth="1"/>
    <col min="46" max="46" width="8.44140625" bestFit="1" customWidth="1"/>
    <col min="47" max="47" width="9.88671875" bestFit="1" customWidth="1"/>
    <col min="48" max="48" width="6.77734375" bestFit="1" customWidth="1"/>
    <col min="49" max="49" width="9.33203125" bestFit="1" customWidth="1"/>
    <col min="50" max="50" width="15.77734375" bestFit="1" customWidth="1"/>
    <col min="51" max="51" width="8.44140625" bestFit="1" customWidth="1"/>
    <col min="52" max="52" width="6.5546875" bestFit="1" customWidth="1"/>
    <col min="53" max="53" width="8.77734375" bestFit="1" customWidth="1"/>
    <col min="54" max="54" width="8.5546875" bestFit="1" customWidth="1"/>
    <col min="55" max="55" width="9" bestFit="1" customWidth="1"/>
    <col min="56" max="56" width="8.77734375" bestFit="1" customWidth="1"/>
    <col min="57" max="57" width="7.44140625" bestFit="1" customWidth="1"/>
    <col min="58" max="58" width="9.109375" bestFit="1" customWidth="1"/>
    <col min="59" max="59" width="14.88671875" bestFit="1" customWidth="1"/>
    <col min="60" max="60" width="6.88671875" bestFit="1" customWidth="1"/>
    <col min="61" max="61" width="10.77734375" bestFit="1" customWidth="1"/>
    <col min="62" max="62" width="6.77734375" bestFit="1" customWidth="1"/>
    <col min="63" max="63" width="11.77734375" bestFit="1" customWidth="1"/>
    <col min="64" max="64" width="6.77734375" bestFit="1" customWidth="1"/>
    <col min="65" max="65" width="9.33203125" bestFit="1" customWidth="1"/>
    <col min="66" max="66" width="5.109375" bestFit="1" customWidth="1"/>
    <col min="67" max="67" width="13.5546875" bestFit="1" customWidth="1"/>
    <col min="68" max="68" width="8.88671875" bestFit="1" customWidth="1"/>
    <col min="69" max="69" width="5.109375" bestFit="1" customWidth="1"/>
    <col min="70" max="70" width="6.5546875" bestFit="1" customWidth="1"/>
    <col min="71" max="71" width="9.6640625" bestFit="1" customWidth="1"/>
    <col min="72" max="72" width="13.77734375" bestFit="1" customWidth="1"/>
    <col min="73" max="73" width="7.33203125" bestFit="1" customWidth="1"/>
    <col min="74" max="74" width="10.21875" bestFit="1" customWidth="1"/>
    <col min="75" max="75" width="12.33203125" bestFit="1" customWidth="1"/>
    <col min="76" max="76" width="7.44140625" bestFit="1" customWidth="1"/>
    <col min="77" max="77" width="12.109375" bestFit="1" customWidth="1"/>
    <col min="78" max="78" width="11.21875" bestFit="1" customWidth="1"/>
    <col min="79" max="79" width="13.5546875" bestFit="1" customWidth="1"/>
    <col min="80" max="80" width="7.77734375" bestFit="1" customWidth="1"/>
    <col min="81" max="81" width="12.44140625" bestFit="1" customWidth="1"/>
    <col min="82" max="82" width="7.33203125" bestFit="1" customWidth="1"/>
    <col min="83" max="83" width="10.21875" bestFit="1" customWidth="1"/>
    <col min="84" max="84" width="9" bestFit="1" customWidth="1"/>
    <col min="85" max="85" width="5.77734375" bestFit="1" customWidth="1"/>
    <col min="86" max="86" width="8.88671875" bestFit="1" customWidth="1"/>
    <col min="87" max="87" width="5.109375" bestFit="1" customWidth="1"/>
    <col min="88" max="88" width="9.33203125" bestFit="1" customWidth="1"/>
    <col min="89" max="89" width="8.5546875" bestFit="1" customWidth="1"/>
    <col min="90" max="90" width="5.88671875" bestFit="1" customWidth="1"/>
    <col min="91" max="91" width="7.6640625" bestFit="1" customWidth="1"/>
    <col min="92" max="92" width="9.109375" bestFit="1" customWidth="1"/>
    <col min="93" max="93" width="11.33203125" bestFit="1" customWidth="1"/>
    <col min="94" max="94" width="18.21875" bestFit="1" customWidth="1"/>
    <col min="95" max="95" width="12.77734375" bestFit="1" customWidth="1"/>
    <col min="96" max="96" width="8.44140625" bestFit="1" customWidth="1"/>
    <col min="97" max="97" width="9.88671875" bestFit="1" customWidth="1"/>
    <col min="98" max="98" width="6.77734375" bestFit="1" customWidth="1"/>
    <col min="99" max="99" width="9.33203125" bestFit="1" customWidth="1"/>
    <col min="100" max="100" width="18.77734375" bestFit="1" customWidth="1"/>
    <col min="101" max="101" width="7.44140625" bestFit="1" customWidth="1"/>
    <col min="102" max="102" width="7" bestFit="1" customWidth="1"/>
    <col min="103" max="103" width="12.44140625" bestFit="1" customWidth="1"/>
    <col min="104" max="106" width="7" bestFit="1" customWidth="1"/>
    <col min="107" max="107" width="11.77734375" bestFit="1" customWidth="1"/>
    <col min="108" max="108" width="8.44140625" bestFit="1" customWidth="1"/>
    <col min="109" max="109" width="7.33203125" bestFit="1" customWidth="1"/>
    <col min="110" max="110" width="7" bestFit="1" customWidth="1"/>
    <col min="111" max="111" width="9.33203125" bestFit="1" customWidth="1"/>
    <col min="112" max="112" width="7.77734375" bestFit="1" customWidth="1"/>
    <col min="113" max="113" width="9.109375" bestFit="1" customWidth="1"/>
    <col min="114" max="114" width="10.77734375" bestFit="1" customWidth="1"/>
    <col min="115" max="115" width="11.33203125" bestFit="1" customWidth="1"/>
    <col min="116" max="116" width="14.88671875" bestFit="1" customWidth="1"/>
    <col min="117" max="117" width="13.5546875" bestFit="1" customWidth="1"/>
    <col min="118" max="118" width="8.88671875" bestFit="1" customWidth="1"/>
    <col min="119" max="119" width="13.5546875" bestFit="1" customWidth="1"/>
    <col min="120" max="120" width="8.88671875" bestFit="1" customWidth="1"/>
    <col min="121" max="121" width="9.6640625" bestFit="1" customWidth="1"/>
    <col min="122" max="122" width="7.44140625" bestFit="1" customWidth="1"/>
    <col min="123" max="123" width="9.88671875" bestFit="1" customWidth="1"/>
    <col min="124" max="124" width="10.21875" bestFit="1" customWidth="1"/>
    <col min="125" max="125" width="7" bestFit="1" customWidth="1"/>
    <col min="126" max="126" width="12.109375" bestFit="1" customWidth="1"/>
    <col min="127" max="127" width="8.77734375" bestFit="1" customWidth="1"/>
    <col min="128" max="128" width="9.33203125" bestFit="1" customWidth="1"/>
    <col min="129" max="129" width="7.6640625" bestFit="1" customWidth="1"/>
    <col min="130" max="130" width="9" bestFit="1" customWidth="1"/>
    <col min="131" max="131" width="7" bestFit="1" customWidth="1"/>
    <col min="132" max="132" width="11.21875" bestFit="1" customWidth="1"/>
    <col min="133" max="133" width="12.77734375" bestFit="1" customWidth="1"/>
    <col min="134" max="134" width="8.77734375" bestFit="1" customWidth="1"/>
    <col min="135" max="135" width="10.21875" bestFit="1" customWidth="1"/>
    <col min="136" max="136" width="13.77734375" bestFit="1" customWidth="1"/>
    <col min="137" max="137" width="12.33203125" bestFit="1" customWidth="1"/>
    <col min="138" max="138" width="8.44140625" bestFit="1" customWidth="1"/>
    <col min="139" max="139" width="7" bestFit="1" customWidth="1"/>
    <col min="140" max="141" width="8.5546875" bestFit="1" customWidth="1"/>
    <col min="142" max="142" width="10.5546875" bestFit="1" customWidth="1"/>
    <col min="143" max="143" width="9.109375" bestFit="1" customWidth="1"/>
    <col min="144" max="144" width="7" bestFit="1" customWidth="1"/>
    <col min="145" max="145" width="18.21875" bestFit="1" customWidth="1"/>
    <col min="146" max="146" width="9.33203125" bestFit="1" customWidth="1"/>
    <col min="147" max="147" width="19.6640625" bestFit="1" customWidth="1"/>
    <col min="148" max="148" width="7.44140625" bestFit="1" customWidth="1"/>
    <col min="149" max="149" width="20.77734375" bestFit="1" customWidth="1"/>
    <col min="150" max="150" width="15.77734375" bestFit="1" customWidth="1"/>
    <col min="151" max="151" width="19.6640625" bestFit="1" customWidth="1"/>
    <col min="152" max="152" width="7.44140625" bestFit="1" customWidth="1"/>
    <col min="153" max="153" width="20.77734375" bestFit="1" customWidth="1"/>
    <col min="154" max="154" width="15.77734375" bestFit="1" customWidth="1"/>
    <col min="155" max="155" width="19.6640625" bestFit="1" customWidth="1"/>
    <col min="156" max="156" width="7.44140625" bestFit="1" customWidth="1"/>
    <col min="157" max="157" width="20.77734375" bestFit="1" customWidth="1"/>
    <col min="158" max="158" width="15.77734375" bestFit="1" customWidth="1"/>
    <col min="159" max="159" width="19.6640625" bestFit="1" customWidth="1"/>
    <col min="160" max="160" width="7.44140625" bestFit="1" customWidth="1"/>
    <col min="161" max="161" width="20.77734375" bestFit="1" customWidth="1"/>
    <col min="162" max="162" width="15.77734375" bestFit="1" customWidth="1"/>
    <col min="163" max="163" width="19.6640625" bestFit="1" customWidth="1"/>
    <col min="164" max="164" width="7.44140625" bestFit="1" customWidth="1"/>
    <col min="165" max="165" width="20.77734375" bestFit="1" customWidth="1"/>
    <col min="166" max="166" width="15.77734375" bestFit="1" customWidth="1"/>
    <col min="167" max="167" width="19.6640625" bestFit="1" customWidth="1"/>
    <col min="168" max="168" width="7.44140625" bestFit="1" customWidth="1"/>
    <col min="169" max="169" width="20.77734375" bestFit="1" customWidth="1"/>
    <col min="170" max="170" width="15.77734375" bestFit="1" customWidth="1"/>
    <col min="171" max="171" width="19.6640625" bestFit="1" customWidth="1"/>
    <col min="172" max="172" width="7.44140625" bestFit="1" customWidth="1"/>
    <col min="173" max="173" width="20.77734375" bestFit="1" customWidth="1"/>
    <col min="174" max="174" width="15.77734375" bestFit="1" customWidth="1"/>
    <col min="175" max="175" width="19.6640625" bestFit="1" customWidth="1"/>
    <col min="176" max="176" width="7.44140625" bestFit="1" customWidth="1"/>
    <col min="177" max="177" width="20.77734375" bestFit="1" customWidth="1"/>
    <col min="178" max="178" width="15.77734375" bestFit="1" customWidth="1"/>
    <col min="179" max="179" width="19.6640625" bestFit="1" customWidth="1"/>
    <col min="180" max="180" width="7.44140625" bestFit="1" customWidth="1"/>
    <col min="181" max="181" width="20.77734375" bestFit="1" customWidth="1"/>
    <col min="182" max="182" width="15.77734375" bestFit="1" customWidth="1"/>
    <col min="183" max="183" width="19.6640625" bestFit="1" customWidth="1"/>
    <col min="184" max="184" width="7.44140625" bestFit="1" customWidth="1"/>
    <col min="185" max="185" width="20.77734375" bestFit="1" customWidth="1"/>
    <col min="186" max="186" width="15.77734375" bestFit="1" customWidth="1"/>
    <col min="187" max="187" width="19.6640625" bestFit="1" customWidth="1"/>
    <col min="188" max="188" width="7.44140625" bestFit="1" customWidth="1"/>
    <col min="189" max="189" width="20.77734375" bestFit="1" customWidth="1"/>
    <col min="190" max="190" width="15.77734375" bestFit="1" customWidth="1"/>
    <col min="191" max="191" width="19.6640625" bestFit="1" customWidth="1"/>
    <col min="192" max="192" width="7.44140625" bestFit="1" customWidth="1"/>
    <col min="193" max="193" width="20.77734375" bestFit="1" customWidth="1"/>
    <col min="194" max="194" width="15.77734375" bestFit="1" customWidth="1"/>
    <col min="195" max="195" width="19.6640625" bestFit="1" customWidth="1"/>
    <col min="196" max="196" width="7.44140625" bestFit="1" customWidth="1"/>
    <col min="197" max="197" width="20.77734375" bestFit="1" customWidth="1"/>
    <col min="198" max="198" width="15.77734375" bestFit="1" customWidth="1"/>
    <col min="199" max="199" width="3.44140625" bestFit="1" customWidth="1"/>
    <col min="200" max="200" width="3.109375" bestFit="1" customWidth="1"/>
    <col min="201" max="201" width="3.33203125" bestFit="1" customWidth="1"/>
    <col min="202" max="202" width="3.21875" bestFit="1" customWidth="1"/>
    <col min="203" max="204" width="4" bestFit="1" customWidth="1"/>
    <col min="205" max="205" width="3" bestFit="1" customWidth="1"/>
    <col min="206" max="206" width="4" bestFit="1" customWidth="1"/>
    <col min="207" max="209" width="3.109375" bestFit="1" customWidth="1"/>
    <col min="210" max="211" width="4" bestFit="1" customWidth="1"/>
    <col min="212" max="212" width="3.33203125" bestFit="1" customWidth="1"/>
    <col min="213" max="214" width="4.109375" bestFit="1" customWidth="1"/>
    <col min="215" max="215" width="3.77734375" bestFit="1" customWidth="1"/>
    <col min="216" max="216" width="3.44140625" bestFit="1" customWidth="1"/>
    <col min="217" max="217" width="3.5546875" bestFit="1" customWidth="1"/>
    <col min="218" max="218" width="4" bestFit="1" customWidth="1"/>
    <col min="219" max="219" width="4.109375" bestFit="1" customWidth="1"/>
    <col min="220" max="220" width="3.5546875" bestFit="1" customWidth="1"/>
    <col min="221" max="222" width="4" bestFit="1" customWidth="1"/>
    <col min="223" max="224" width="3.44140625" bestFit="1" customWidth="1"/>
    <col min="225" max="225" width="4" bestFit="1" customWidth="1"/>
    <col min="226" max="226" width="3" bestFit="1" customWidth="1"/>
    <col min="227" max="227" width="3.109375" bestFit="1" customWidth="1"/>
    <col min="228" max="228" width="3.21875" bestFit="1" customWidth="1"/>
    <col min="229" max="229" width="3.33203125" bestFit="1" customWidth="1"/>
    <col min="230" max="230" width="4" bestFit="1" customWidth="1"/>
    <col min="231" max="231" width="3.33203125" bestFit="1" customWidth="1"/>
    <col min="232" max="232" width="4" bestFit="1" customWidth="1"/>
    <col min="233" max="233" width="3.21875" bestFit="1" customWidth="1"/>
    <col min="234" max="234" width="4" bestFit="1" customWidth="1"/>
    <col min="235" max="235" width="3.33203125" bestFit="1" customWidth="1"/>
    <col min="236" max="236" width="4" bestFit="1" customWidth="1"/>
    <col min="237" max="237" width="3.77734375" bestFit="1" customWidth="1"/>
    <col min="238" max="238" width="11.5546875" bestFit="1" customWidth="1"/>
    <col min="239" max="239" width="8.88671875" bestFit="1" customWidth="1"/>
    <col min="240" max="240" width="3.109375" bestFit="1" customWidth="1"/>
    <col min="241" max="241" width="3.33203125" bestFit="1" customWidth="1"/>
    <col min="242" max="242" width="3.21875" bestFit="1" customWidth="1"/>
    <col min="243" max="243" width="4" bestFit="1" customWidth="1"/>
    <col min="244" max="244" width="3.44140625" bestFit="1" customWidth="1"/>
    <col min="245" max="245" width="3.109375" bestFit="1" customWidth="1"/>
    <col min="246" max="246" width="3.33203125" bestFit="1" customWidth="1"/>
    <col min="247" max="247" width="3.21875" bestFit="1" customWidth="1"/>
    <col min="248" max="249" width="4" bestFit="1" customWidth="1"/>
    <col min="250" max="250" width="3" bestFit="1" customWidth="1"/>
    <col min="251" max="252" width="2.77734375" bestFit="1" customWidth="1"/>
    <col min="253" max="253" width="4" bestFit="1" customWidth="1"/>
    <col min="254" max="254" width="2.88671875" bestFit="1" customWidth="1"/>
    <col min="255" max="257" width="3.109375" bestFit="1" customWidth="1"/>
    <col min="258" max="259" width="4" bestFit="1" customWidth="1"/>
    <col min="260" max="260" width="3.77734375" bestFit="1" customWidth="1"/>
    <col min="261" max="261" width="3.33203125" bestFit="1" customWidth="1"/>
    <col min="262" max="263" width="4.109375" bestFit="1" customWidth="1"/>
    <col min="264" max="264" width="3.77734375" bestFit="1" customWidth="1"/>
    <col min="265" max="265" width="3.44140625" bestFit="1" customWidth="1"/>
    <col min="266" max="266" width="3.5546875" bestFit="1" customWidth="1"/>
    <col min="267" max="267" width="4" bestFit="1" customWidth="1"/>
    <col min="268" max="268" width="4.109375" bestFit="1" customWidth="1"/>
    <col min="269" max="269" width="3.5546875" bestFit="1" customWidth="1"/>
    <col min="270" max="270" width="4" bestFit="1" customWidth="1"/>
    <col min="271" max="271" width="3.5546875" bestFit="1" customWidth="1"/>
    <col min="272" max="273" width="3.44140625" bestFit="1" customWidth="1"/>
    <col min="274" max="274" width="4" bestFit="1" customWidth="1"/>
    <col min="275" max="275" width="3" bestFit="1" customWidth="1"/>
    <col min="276" max="276" width="3.109375" bestFit="1" customWidth="1"/>
    <col min="277" max="277" width="3.21875" bestFit="1" customWidth="1"/>
    <col min="278" max="278" width="4" bestFit="1" customWidth="1"/>
    <col min="279" max="279" width="3.33203125" bestFit="1" customWidth="1"/>
    <col min="280" max="280" width="4" bestFit="1" customWidth="1"/>
    <col min="281" max="281" width="3.21875" bestFit="1" customWidth="1"/>
    <col min="282" max="282" width="4" bestFit="1" customWidth="1"/>
    <col min="283" max="283" width="3.33203125" bestFit="1" customWidth="1"/>
    <col min="284" max="284" width="4" bestFit="1" customWidth="1"/>
    <col min="285" max="285" width="3.77734375" bestFit="1" customWidth="1"/>
    <col min="286" max="286" width="11.5546875" bestFit="1" customWidth="1"/>
    <col min="287" max="287" width="8.88671875" bestFit="1" customWidth="1"/>
    <col min="288" max="288" width="3.109375" bestFit="1" customWidth="1"/>
    <col min="289" max="289" width="3.33203125" bestFit="1" customWidth="1"/>
    <col min="290" max="290" width="3.21875" bestFit="1" customWidth="1"/>
    <col min="291" max="291" width="4" bestFit="1" customWidth="1"/>
    <col min="292" max="292" width="3.44140625" bestFit="1" customWidth="1"/>
    <col min="293" max="293" width="3.109375" bestFit="1" customWidth="1"/>
    <col min="294" max="294" width="3.33203125" bestFit="1" customWidth="1"/>
    <col min="295" max="295" width="3.21875" bestFit="1" customWidth="1"/>
    <col min="296" max="297" width="4" bestFit="1" customWidth="1"/>
    <col min="298" max="298" width="3" bestFit="1" customWidth="1"/>
    <col min="299" max="299" width="4" bestFit="1" customWidth="1"/>
    <col min="300" max="302" width="3.109375" bestFit="1" customWidth="1"/>
    <col min="303" max="304" width="4" bestFit="1" customWidth="1"/>
    <col min="305" max="305" width="3.33203125" bestFit="1" customWidth="1"/>
    <col min="306" max="307" width="4.109375" bestFit="1" customWidth="1"/>
    <col min="308" max="309" width="3.77734375" bestFit="1" customWidth="1"/>
    <col min="310" max="310" width="3.44140625" bestFit="1" customWidth="1"/>
    <col min="311" max="311" width="3.33203125" bestFit="1" customWidth="1"/>
    <col min="312" max="312" width="3.5546875" bestFit="1" customWidth="1"/>
    <col min="313" max="313" width="4" bestFit="1" customWidth="1"/>
    <col min="314" max="314" width="4.109375" bestFit="1" customWidth="1"/>
    <col min="315" max="315" width="3.5546875" bestFit="1" customWidth="1"/>
    <col min="316" max="316" width="4" bestFit="1" customWidth="1"/>
    <col min="317" max="317" width="3.5546875" bestFit="1" customWidth="1"/>
    <col min="318" max="319" width="3.44140625" bestFit="1" customWidth="1"/>
    <col min="320" max="320" width="4" bestFit="1" customWidth="1"/>
    <col min="321" max="321" width="3" bestFit="1" customWidth="1"/>
    <col min="322" max="322" width="3.109375" bestFit="1" customWidth="1"/>
    <col min="323" max="323" width="3.21875" bestFit="1" customWidth="1"/>
    <col min="324" max="324" width="3.33203125" bestFit="1" customWidth="1"/>
    <col min="325" max="325" width="4" bestFit="1" customWidth="1"/>
    <col min="326" max="326" width="3.33203125" bestFit="1" customWidth="1"/>
    <col min="327" max="327" width="4" bestFit="1" customWidth="1"/>
    <col min="328" max="328" width="3.21875" bestFit="1" customWidth="1"/>
    <col min="329" max="329" width="4" bestFit="1" customWidth="1"/>
    <col min="330" max="330" width="3.33203125" bestFit="1" customWidth="1"/>
    <col min="331" max="331" width="4" bestFit="1" customWidth="1"/>
    <col min="332" max="332" width="3.77734375" bestFit="1" customWidth="1"/>
    <col min="333" max="333" width="11.5546875" bestFit="1" customWidth="1"/>
    <col min="334" max="334" width="8.88671875" bestFit="1" customWidth="1"/>
    <col min="335" max="335" width="3.109375" bestFit="1" customWidth="1"/>
    <col min="336" max="336" width="3.33203125" bestFit="1" customWidth="1"/>
    <col min="337" max="337" width="3.21875" bestFit="1" customWidth="1"/>
    <col min="338" max="338" width="4" bestFit="1" customWidth="1"/>
    <col min="339" max="339" width="3.44140625" bestFit="1" customWidth="1"/>
    <col min="340" max="340" width="3.109375" bestFit="1" customWidth="1"/>
    <col min="341" max="341" width="3.33203125" bestFit="1" customWidth="1"/>
    <col min="342" max="342" width="3.21875" bestFit="1" customWidth="1"/>
    <col min="343" max="343" width="4" bestFit="1" customWidth="1"/>
    <col min="344" max="344" width="3.44140625" bestFit="1" customWidth="1"/>
    <col min="345" max="346" width="2.77734375" bestFit="1" customWidth="1"/>
    <col min="347" max="347" width="4" bestFit="1" customWidth="1"/>
    <col min="348" max="350" width="3.109375" bestFit="1" customWidth="1"/>
    <col min="351" max="352" width="4" bestFit="1" customWidth="1"/>
    <col min="353" max="353" width="3.33203125" bestFit="1" customWidth="1"/>
    <col min="354" max="355" width="4.109375" bestFit="1" customWidth="1"/>
    <col min="356" max="357" width="3.77734375" bestFit="1" customWidth="1"/>
    <col min="358" max="358" width="3.44140625" bestFit="1" customWidth="1"/>
    <col min="359" max="359" width="3.5546875" bestFit="1" customWidth="1"/>
    <col min="360" max="360" width="4" bestFit="1" customWidth="1"/>
    <col min="361" max="361" width="4.109375" bestFit="1" customWidth="1"/>
    <col min="362" max="362" width="3.5546875" bestFit="1" customWidth="1"/>
    <col min="363" max="363" width="4" bestFit="1" customWidth="1"/>
    <col min="364" max="364" width="3.5546875" bestFit="1" customWidth="1"/>
    <col min="365" max="366" width="3.44140625" bestFit="1" customWidth="1"/>
    <col min="367" max="367" width="3.33203125" bestFit="1" customWidth="1"/>
    <col min="368" max="368" width="2.6640625" bestFit="1" customWidth="1"/>
    <col min="369" max="369" width="3.109375" bestFit="1" customWidth="1"/>
    <col min="370" max="370" width="3.21875" bestFit="1" customWidth="1"/>
    <col min="371" max="371" width="3.33203125" bestFit="1" customWidth="1"/>
    <col min="372" max="372" width="4" bestFit="1" customWidth="1"/>
    <col min="373" max="373" width="3.33203125" bestFit="1" customWidth="1"/>
    <col min="374" max="374" width="3.44140625" bestFit="1" customWidth="1"/>
    <col min="375" max="375" width="3.21875" bestFit="1" customWidth="1"/>
    <col min="376" max="376" width="4" bestFit="1" customWidth="1"/>
    <col min="377" max="377" width="3.33203125" bestFit="1" customWidth="1"/>
    <col min="378" max="378" width="4" bestFit="1" customWidth="1"/>
    <col min="379" max="379" width="3.77734375" bestFit="1" customWidth="1"/>
    <col min="380" max="380" width="11.5546875" bestFit="1" customWidth="1"/>
    <col min="381" max="381" width="8.88671875" bestFit="1" customWidth="1"/>
    <col min="382" max="382" width="3.109375" bestFit="1" customWidth="1"/>
    <col min="383" max="383" width="3.33203125" bestFit="1" customWidth="1"/>
    <col min="384" max="384" width="3.21875" bestFit="1" customWidth="1"/>
    <col min="385" max="385" width="4" bestFit="1" customWidth="1"/>
    <col min="386" max="386" width="3.44140625" bestFit="1" customWidth="1"/>
    <col min="387" max="387" width="3.109375" bestFit="1" customWidth="1"/>
    <col min="388" max="388" width="3.33203125" bestFit="1" customWidth="1"/>
    <col min="389" max="389" width="3.21875" bestFit="1" customWidth="1"/>
    <col min="390" max="390" width="4" bestFit="1" customWidth="1"/>
    <col min="391" max="391" width="3.44140625" bestFit="1" customWidth="1"/>
    <col min="392" max="393" width="3" bestFit="1" customWidth="1"/>
    <col min="394" max="394" width="2.88671875" bestFit="1" customWidth="1"/>
    <col min="395" max="397" width="3.109375" bestFit="1" customWidth="1"/>
    <col min="398" max="399" width="4" bestFit="1" customWidth="1"/>
    <col min="400" max="400" width="3.33203125" bestFit="1" customWidth="1"/>
    <col min="401" max="402" width="4.109375" bestFit="1" customWidth="1"/>
    <col min="403" max="403" width="3.77734375" bestFit="1" customWidth="1"/>
    <col min="404" max="404" width="3.44140625" bestFit="1" customWidth="1"/>
    <col min="405" max="405" width="3.5546875" bestFit="1" customWidth="1"/>
    <col min="406" max="406" width="3" bestFit="1" customWidth="1"/>
    <col min="407" max="407" width="4.109375" bestFit="1" customWidth="1"/>
    <col min="408" max="408" width="3.5546875" bestFit="1" customWidth="1"/>
    <col min="409" max="409" width="4" bestFit="1" customWidth="1"/>
    <col min="410" max="410" width="3.5546875" bestFit="1" customWidth="1"/>
    <col min="411" max="412" width="3.44140625" bestFit="1" customWidth="1"/>
    <col min="413" max="413" width="3.33203125" bestFit="1" customWidth="1"/>
    <col min="414" max="414" width="2.6640625" bestFit="1" customWidth="1"/>
    <col min="415" max="415" width="3.109375" bestFit="1" customWidth="1"/>
    <col min="416" max="416" width="3.21875" bestFit="1" customWidth="1"/>
    <col min="417" max="417" width="3.33203125" bestFit="1" customWidth="1"/>
    <col min="418" max="418" width="4" bestFit="1" customWidth="1"/>
    <col min="419" max="419" width="3.33203125" bestFit="1" customWidth="1"/>
    <col min="420" max="420" width="3.44140625" bestFit="1" customWidth="1"/>
    <col min="421" max="421" width="3.21875" bestFit="1" customWidth="1"/>
    <col min="422" max="422" width="4" bestFit="1" customWidth="1"/>
    <col min="423" max="423" width="3.33203125" bestFit="1" customWidth="1"/>
    <col min="424" max="424" width="4" bestFit="1" customWidth="1"/>
    <col min="425" max="425" width="3.77734375" bestFit="1" customWidth="1"/>
    <col min="426" max="426" width="11.5546875" bestFit="1" customWidth="1"/>
    <col min="427" max="427" width="8.88671875" bestFit="1" customWidth="1"/>
    <col min="428" max="428" width="3.109375" bestFit="1" customWidth="1"/>
    <col min="429" max="429" width="3.33203125" bestFit="1" customWidth="1"/>
    <col min="430" max="430" width="3.21875" bestFit="1" customWidth="1"/>
    <col min="431" max="431" width="4" bestFit="1" customWidth="1"/>
    <col min="432" max="432" width="3.44140625" bestFit="1" customWidth="1"/>
    <col min="433" max="433" width="3.109375" bestFit="1" customWidth="1"/>
    <col min="434" max="434" width="3.33203125" bestFit="1" customWidth="1"/>
    <col min="435" max="435" width="3.21875" bestFit="1" customWidth="1"/>
    <col min="436" max="436" width="4" bestFit="1" customWidth="1"/>
    <col min="437" max="437" width="3.44140625" bestFit="1" customWidth="1"/>
    <col min="438" max="439" width="3" bestFit="1" customWidth="1"/>
    <col min="440" max="440" width="2.88671875" bestFit="1" customWidth="1"/>
    <col min="441" max="443" width="3.109375" bestFit="1" customWidth="1"/>
    <col min="444" max="445" width="4" bestFit="1" customWidth="1"/>
    <col min="446" max="446" width="3.33203125" bestFit="1" customWidth="1"/>
    <col min="447" max="448" width="4.109375" bestFit="1" customWidth="1"/>
    <col min="449" max="450" width="3.77734375" bestFit="1" customWidth="1"/>
    <col min="451" max="451" width="3.44140625" bestFit="1" customWidth="1"/>
    <col min="452" max="452" width="3.5546875" bestFit="1" customWidth="1"/>
    <col min="453" max="453" width="3" bestFit="1" customWidth="1"/>
    <col min="454" max="454" width="4.109375" bestFit="1" customWidth="1"/>
    <col min="455" max="455" width="3.5546875" bestFit="1" customWidth="1"/>
    <col min="456" max="456" width="4" bestFit="1" customWidth="1"/>
    <col min="457" max="457" width="3.5546875" bestFit="1" customWidth="1"/>
    <col min="458" max="459" width="3.44140625" bestFit="1" customWidth="1"/>
    <col min="460" max="460" width="3.33203125" bestFit="1" customWidth="1"/>
    <col min="461" max="461" width="2.6640625" bestFit="1" customWidth="1"/>
    <col min="462" max="462" width="3.109375" bestFit="1" customWidth="1"/>
    <col min="463" max="463" width="3.21875" bestFit="1" customWidth="1"/>
    <col min="464" max="464" width="3.109375" bestFit="1" customWidth="1"/>
    <col min="465" max="465" width="3.33203125" bestFit="1" customWidth="1"/>
    <col min="466" max="466" width="3.44140625" bestFit="1" customWidth="1"/>
    <col min="467" max="467" width="3.21875" bestFit="1" customWidth="1"/>
    <col min="468" max="468" width="4" bestFit="1" customWidth="1"/>
    <col min="469" max="469" width="3.33203125" bestFit="1" customWidth="1"/>
    <col min="470" max="470" width="4" bestFit="1" customWidth="1"/>
    <col min="471" max="471" width="3.77734375" bestFit="1" customWidth="1"/>
    <col min="472" max="472" width="11.5546875" bestFit="1" customWidth="1"/>
    <col min="473" max="473" width="8.88671875" bestFit="1" customWidth="1"/>
    <col min="474" max="474" width="3.109375" bestFit="1" customWidth="1"/>
    <col min="475" max="475" width="3.33203125" bestFit="1" customWidth="1"/>
    <col min="476" max="476" width="3.21875" bestFit="1" customWidth="1"/>
    <col min="477" max="477" width="4" bestFit="1" customWidth="1"/>
    <col min="478" max="478" width="3.44140625" bestFit="1" customWidth="1"/>
    <col min="479" max="479" width="3.109375" bestFit="1" customWidth="1"/>
    <col min="480" max="480" width="3.33203125" bestFit="1" customWidth="1"/>
    <col min="481" max="481" width="3.21875" bestFit="1" customWidth="1"/>
    <col min="482" max="482" width="3" bestFit="1" customWidth="1"/>
    <col min="483" max="483" width="3.44140625" bestFit="1" customWidth="1"/>
    <col min="484" max="484" width="2.77734375" bestFit="1" customWidth="1"/>
    <col min="485" max="485" width="3" bestFit="1" customWidth="1"/>
    <col min="486" max="488" width="3.109375" bestFit="1" customWidth="1"/>
    <col min="489" max="490" width="4" bestFit="1" customWidth="1"/>
    <col min="491" max="491" width="3.33203125" bestFit="1" customWidth="1"/>
    <col min="492" max="493" width="4.109375" bestFit="1" customWidth="1"/>
    <col min="494" max="494" width="3.77734375" bestFit="1" customWidth="1"/>
    <col min="495" max="495" width="3.44140625" bestFit="1" customWidth="1"/>
    <col min="496" max="496" width="3.5546875" bestFit="1" customWidth="1"/>
    <col min="497" max="497" width="3" bestFit="1" customWidth="1"/>
    <col min="498" max="498" width="4.109375" bestFit="1" customWidth="1"/>
    <col min="499" max="499" width="3.5546875" bestFit="1" customWidth="1"/>
    <col min="500" max="500" width="4" bestFit="1" customWidth="1"/>
    <col min="501" max="501" width="3.5546875" bestFit="1" customWidth="1"/>
    <col min="502" max="503" width="3.44140625" bestFit="1" customWidth="1"/>
    <col min="504" max="504" width="3.33203125" bestFit="1" customWidth="1"/>
    <col min="505" max="505" width="2.6640625" bestFit="1" customWidth="1"/>
    <col min="506" max="506" width="3.109375" bestFit="1" customWidth="1"/>
    <col min="507" max="507" width="3.21875" bestFit="1" customWidth="1"/>
    <col min="508" max="508" width="3.109375" bestFit="1" customWidth="1"/>
    <col min="509" max="509" width="3.33203125" bestFit="1" customWidth="1"/>
    <col min="510" max="510" width="3.44140625" bestFit="1" customWidth="1"/>
    <col min="511" max="511" width="3.21875" bestFit="1" customWidth="1"/>
    <col min="512" max="512" width="4" bestFit="1" customWidth="1"/>
    <col min="513" max="513" width="3.33203125" bestFit="1" customWidth="1"/>
    <col min="514" max="514" width="4" bestFit="1" customWidth="1"/>
    <col min="515" max="515" width="3.77734375" bestFit="1" customWidth="1"/>
    <col min="516" max="516" width="11.5546875" bestFit="1" customWidth="1"/>
    <col min="517" max="518" width="6.88671875" bestFit="1" customWidth="1"/>
    <col min="519" max="519" width="8.6640625" bestFit="1" customWidth="1"/>
    <col min="520" max="520" width="7.5546875" bestFit="1" customWidth="1"/>
    <col min="521" max="521" width="6.109375" bestFit="1" customWidth="1"/>
    <col min="522" max="522" width="8.88671875" bestFit="1" customWidth="1"/>
    <col min="523" max="530" width="6.88671875" bestFit="1" customWidth="1"/>
    <col min="531" max="531" width="8" bestFit="1" customWidth="1"/>
    <col min="532" max="532" width="7.5546875" bestFit="1" customWidth="1"/>
    <col min="533" max="533" width="6.109375" bestFit="1" customWidth="1"/>
    <col min="534" max="534" width="8.88671875" bestFit="1" customWidth="1"/>
    <col min="535" max="542" width="6.88671875" bestFit="1" customWidth="1"/>
    <col min="543" max="543" width="8.6640625" bestFit="1" customWidth="1"/>
    <col min="544" max="544" width="7.5546875" bestFit="1" customWidth="1"/>
    <col min="545" max="545" width="6.109375" bestFit="1" customWidth="1"/>
    <col min="546" max="546" width="8.88671875" bestFit="1" customWidth="1"/>
    <col min="547" max="554" width="6.88671875" bestFit="1" customWidth="1"/>
    <col min="555" max="555" width="8.44140625" bestFit="1" customWidth="1"/>
    <col min="556" max="15823" width="15.5546875" bestFit="1" customWidth="1"/>
    <col min="15824" max="15824" width="10.77734375" bestFit="1" customWidth="1"/>
  </cols>
  <sheetData>
    <row r="2" spans="2:13" x14ac:dyDescent="0.3">
      <c r="B2" s="6" t="s">
        <v>11</v>
      </c>
      <c r="C2" s="7" t="s">
        <v>10</v>
      </c>
      <c r="D2" s="7" t="s">
        <v>2</v>
      </c>
      <c r="E2" s="7" t="s">
        <v>3</v>
      </c>
      <c r="F2" s="7" t="s">
        <v>1</v>
      </c>
      <c r="G2" s="7" t="s">
        <v>25</v>
      </c>
      <c r="H2" s="7" t="s">
        <v>24</v>
      </c>
      <c r="I2" s="8" t="s">
        <v>26</v>
      </c>
      <c r="J2" s="7" t="s">
        <v>32</v>
      </c>
      <c r="K2" s="7" t="s">
        <v>33</v>
      </c>
      <c r="L2" s="8" t="s">
        <v>34</v>
      </c>
      <c r="M2" s="70" t="s">
        <v>35</v>
      </c>
    </row>
    <row r="3" spans="2:13" x14ac:dyDescent="0.3">
      <c r="B3" s="10">
        <v>38576</v>
      </c>
      <c r="C3" s="11">
        <v>435757075</v>
      </c>
      <c r="D3" s="11">
        <v>543578811.12</v>
      </c>
      <c r="E3" s="11">
        <v>473070933</v>
      </c>
      <c r="F3" s="16">
        <v>-0.1297104976824322</v>
      </c>
      <c r="G3" s="16">
        <v>0.12048831397760013</v>
      </c>
      <c r="H3" s="16">
        <v>0.13327433119037743</v>
      </c>
      <c r="I3" s="16">
        <v>0.87028950231756785</v>
      </c>
      <c r="J3" s="17">
        <v>1098</v>
      </c>
      <c r="K3" s="17">
        <v>5333</v>
      </c>
      <c r="L3" s="18">
        <v>32145</v>
      </c>
      <c r="M3" s="71"/>
    </row>
    <row r="4" spans="2:13" x14ac:dyDescent="0.3">
      <c r="B4" s="10">
        <f>GETPIVOTDATA("[Measures].[Total Disbursed Loans]",$B$2)</f>
        <v>38576</v>
      </c>
      <c r="C4" s="11">
        <f>GETPIVOTDATA("[Measures].[Total Amount Disbursed]",$B$2)</f>
        <v>435757075</v>
      </c>
      <c r="D4" s="11">
        <f>GETPIVOTDATA("[Measures].[expected total payment]",$B$2)</f>
        <v>543578811.12</v>
      </c>
      <c r="E4" s="11">
        <f>GETPIVOTDATA("[Measures].[Total Payment]",$B$2)</f>
        <v>473070933</v>
      </c>
      <c r="F4" s="9">
        <f>GETPIVOTDATA("[Measures].[Expected Loan Growth]",$B$2)</f>
        <v>-0.1297104976824322</v>
      </c>
      <c r="G4" s="9">
        <f>GETPIVOTDATA("[Measures].[Avg Interest Rate]",$B$2)</f>
        <v>0.12048831397760013</v>
      </c>
      <c r="H4" s="55">
        <f>GETPIVOTDATA("[Measures].[Avg DTI]",$B$2)</f>
        <v>0.13327433119037743</v>
      </c>
      <c r="I4" s="9">
        <f>GETPIVOTDATA("[Measures].[Expected paid %]",$B$2)</f>
        <v>0.87028950231756785</v>
      </c>
      <c r="J4" s="19">
        <f>GETPIVOTDATA("[Measures].[Active Loans]",$B$2)</f>
        <v>1098</v>
      </c>
      <c r="K4" s="19">
        <f>GETPIVOTDATA("[Measures].[Charged Off/Defaulted Loans]",$B$2)</f>
        <v>5333</v>
      </c>
      <c r="L4" s="19">
        <f>GETPIVOTDATA("[Measures].[Closed Loans]",$B$2)</f>
        <v>32145</v>
      </c>
      <c r="M4" s="72"/>
    </row>
    <row r="8" spans="2:13" x14ac:dyDescent="0.3">
      <c r="G8" s="1" t="s">
        <v>4</v>
      </c>
      <c r="H8" t="s">
        <v>10</v>
      </c>
      <c r="K8" s="77"/>
      <c r="L8" s="77" t="s">
        <v>56</v>
      </c>
      <c r="M8" s="77"/>
    </row>
    <row r="9" spans="2:13" x14ac:dyDescent="0.3">
      <c r="B9" s="1" t="s">
        <v>4</v>
      </c>
      <c r="C9" t="s">
        <v>11</v>
      </c>
      <c r="G9" s="3" t="s">
        <v>5</v>
      </c>
      <c r="H9" s="5">
        <v>219329150</v>
      </c>
      <c r="K9" s="57" t="s">
        <v>64</v>
      </c>
      <c r="L9" s="58" t="s">
        <v>54</v>
      </c>
      <c r="M9" s="58" t="s">
        <v>53</v>
      </c>
    </row>
    <row r="10" spans="2:13" x14ac:dyDescent="0.3">
      <c r="B10" s="3" t="s">
        <v>5</v>
      </c>
      <c r="C10" s="4">
        <v>17198</v>
      </c>
      <c r="G10" s="3" t="s">
        <v>6</v>
      </c>
      <c r="H10" s="5">
        <v>16800</v>
      </c>
      <c r="K10" t="s">
        <v>65</v>
      </c>
      <c r="L10" s="25">
        <v>33243</v>
      </c>
      <c r="M10" s="25">
        <v>5333</v>
      </c>
    </row>
    <row r="11" spans="2:13" x14ac:dyDescent="0.3">
      <c r="B11" s="3" t="s">
        <v>6</v>
      </c>
      <c r="C11" s="4">
        <v>3</v>
      </c>
      <c r="G11" s="3" t="s">
        <v>7</v>
      </c>
      <c r="H11" s="5">
        <v>1044975</v>
      </c>
      <c r="K11" t="s">
        <v>66</v>
      </c>
      <c r="L11" s="26">
        <v>370224850</v>
      </c>
      <c r="M11" s="26">
        <v>65532225</v>
      </c>
    </row>
    <row r="12" spans="2:13" x14ac:dyDescent="0.3">
      <c r="B12" s="3" t="s">
        <v>7</v>
      </c>
      <c r="C12" s="4">
        <v>98</v>
      </c>
      <c r="G12" s="3" t="s">
        <v>8</v>
      </c>
      <c r="H12" s="5">
        <v>29597675</v>
      </c>
      <c r="K12" t="s">
        <v>69</v>
      </c>
      <c r="L12" s="26">
        <v>457520367.60000002</v>
      </c>
      <c r="M12" s="26">
        <v>86058443.519999996</v>
      </c>
    </row>
    <row r="13" spans="2:13" x14ac:dyDescent="0.3">
      <c r="B13" s="3" t="s">
        <v>8</v>
      </c>
      <c r="C13" s="4">
        <v>2838</v>
      </c>
      <c r="G13" s="3" t="s">
        <v>9</v>
      </c>
      <c r="H13" s="5">
        <v>185768475</v>
      </c>
      <c r="K13" t="s">
        <v>58</v>
      </c>
      <c r="L13" s="26">
        <v>435786170</v>
      </c>
      <c r="M13" s="26">
        <v>37284763</v>
      </c>
    </row>
    <row r="14" spans="2:13" ht="28.8" x14ac:dyDescent="0.3">
      <c r="B14" s="3" t="s">
        <v>9</v>
      </c>
      <c r="C14" s="4">
        <v>18439</v>
      </c>
      <c r="G14" s="3" t="s">
        <v>0</v>
      </c>
      <c r="H14" s="5">
        <v>435757075</v>
      </c>
      <c r="K14" s="23" t="s">
        <v>70</v>
      </c>
      <c r="L14" s="27">
        <v>-4.7504327979998817E-2</v>
      </c>
      <c r="M14" s="27">
        <v>-0.5667506699521585</v>
      </c>
    </row>
    <row r="15" spans="2:13" x14ac:dyDescent="0.3">
      <c r="B15" s="3" t="s">
        <v>0</v>
      </c>
      <c r="C15" s="4">
        <v>38576</v>
      </c>
      <c r="K15" t="s">
        <v>57</v>
      </c>
      <c r="L15" s="28">
        <v>0.96349370802046408</v>
      </c>
      <c r="M15" s="28">
        <v>0.4509415450044707</v>
      </c>
    </row>
    <row r="16" spans="2:13" ht="21.6" customHeight="1" x14ac:dyDescent="0.3">
      <c r="K16" t="s">
        <v>68</v>
      </c>
      <c r="L16" s="27">
        <v>2.6110760160033691E-2</v>
      </c>
      <c r="M16" s="27">
        <v>4.1815113444590289E-2</v>
      </c>
    </row>
    <row r="17" spans="3:13" x14ac:dyDescent="0.3">
      <c r="K17" t="s">
        <v>67</v>
      </c>
      <c r="L17" s="27">
        <v>7.5745269680835059E-2</v>
      </c>
      <c r="M17" s="27">
        <v>9.0005625351584476E-2</v>
      </c>
    </row>
    <row r="22" spans="3:13" x14ac:dyDescent="0.3">
      <c r="C22" s="1" t="s">
        <v>4</v>
      </c>
      <c r="D22" t="s">
        <v>141</v>
      </c>
      <c r="E22" t="s">
        <v>140</v>
      </c>
      <c r="F22" t="s">
        <v>2</v>
      </c>
    </row>
    <row r="23" spans="3:13" x14ac:dyDescent="0.3">
      <c r="C23" s="3" t="s">
        <v>12</v>
      </c>
      <c r="D23" s="20">
        <v>27578836</v>
      </c>
      <c r="E23" s="20">
        <v>25031650</v>
      </c>
      <c r="F23" s="20">
        <v>30856727.280000001</v>
      </c>
    </row>
    <row r="24" spans="3:13" x14ac:dyDescent="0.3">
      <c r="C24" s="3" t="s">
        <v>13</v>
      </c>
      <c r="D24" s="20">
        <v>27717745</v>
      </c>
      <c r="E24" s="20">
        <v>24647825</v>
      </c>
      <c r="F24" s="20">
        <v>30910687.800000001</v>
      </c>
    </row>
    <row r="25" spans="3:13" x14ac:dyDescent="0.3">
      <c r="C25" s="3" t="s">
        <v>14</v>
      </c>
      <c r="D25" s="20">
        <v>32264400</v>
      </c>
      <c r="E25" s="20">
        <v>28875700</v>
      </c>
      <c r="F25" s="20">
        <v>36496550.399999999</v>
      </c>
    </row>
    <row r="26" spans="3:13" x14ac:dyDescent="0.3">
      <c r="C26" s="3" t="s">
        <v>15</v>
      </c>
      <c r="D26" s="20">
        <v>32495533</v>
      </c>
      <c r="E26" s="20">
        <v>29800800</v>
      </c>
      <c r="F26" s="20">
        <v>36837482.399999999</v>
      </c>
    </row>
    <row r="27" spans="3:13" x14ac:dyDescent="0.3">
      <c r="C27" s="3" t="s">
        <v>16</v>
      </c>
      <c r="D27" s="20">
        <v>33750523</v>
      </c>
      <c r="E27" s="20">
        <v>31738350</v>
      </c>
      <c r="F27" s="20">
        <v>38905189.079999998</v>
      </c>
    </row>
    <row r="28" spans="3:13" x14ac:dyDescent="0.3">
      <c r="C28" s="3" t="s">
        <v>17</v>
      </c>
      <c r="D28" s="20">
        <v>36164533</v>
      </c>
      <c r="E28" s="20">
        <v>34161475</v>
      </c>
      <c r="F28" s="20">
        <v>41688072.479999997</v>
      </c>
    </row>
    <row r="29" spans="3:13" x14ac:dyDescent="0.3">
      <c r="C29" s="3" t="s">
        <v>18</v>
      </c>
      <c r="D29" s="20">
        <v>38827220</v>
      </c>
      <c r="E29" s="20">
        <v>35813900</v>
      </c>
      <c r="F29" s="20">
        <v>44527424.520000003</v>
      </c>
    </row>
    <row r="30" spans="3:13" x14ac:dyDescent="0.3">
      <c r="C30" s="3" t="s">
        <v>19</v>
      </c>
      <c r="D30" s="20">
        <v>42682218</v>
      </c>
      <c r="E30" s="20">
        <v>38149600</v>
      </c>
      <c r="F30" s="20">
        <v>48805190.759999998</v>
      </c>
    </row>
    <row r="31" spans="3:13" x14ac:dyDescent="0.3">
      <c r="C31" s="3" t="s">
        <v>20</v>
      </c>
      <c r="D31" s="20">
        <v>43983948</v>
      </c>
      <c r="E31" s="20">
        <v>40907725</v>
      </c>
      <c r="F31" s="20">
        <v>51033969.719999999</v>
      </c>
    </row>
    <row r="32" spans="3:13" x14ac:dyDescent="0.3">
      <c r="C32" s="3" t="s">
        <v>21</v>
      </c>
      <c r="D32" s="20">
        <v>49399567</v>
      </c>
      <c r="E32" s="20">
        <v>44893800</v>
      </c>
      <c r="F32" s="20">
        <v>57069318.719999999</v>
      </c>
    </row>
    <row r="33" spans="2:12" x14ac:dyDescent="0.3">
      <c r="C33" s="3" t="s">
        <v>22</v>
      </c>
      <c r="D33" s="20">
        <v>50132030</v>
      </c>
      <c r="E33" s="20">
        <v>47754825</v>
      </c>
      <c r="F33" s="20">
        <v>58772541.960000001</v>
      </c>
    </row>
    <row r="34" spans="2:12" x14ac:dyDescent="0.3">
      <c r="C34" s="3" t="s">
        <v>23</v>
      </c>
      <c r="D34" s="20">
        <v>58074380</v>
      </c>
      <c r="E34" s="20">
        <v>53981425</v>
      </c>
      <c r="F34" s="20">
        <v>67675656</v>
      </c>
    </row>
    <row r="35" spans="2:12" x14ac:dyDescent="0.3">
      <c r="C35" s="3" t="s">
        <v>0</v>
      </c>
      <c r="D35" s="20">
        <v>473070933</v>
      </c>
      <c r="E35" s="20">
        <v>435757075</v>
      </c>
      <c r="F35" s="20">
        <v>543578811.12</v>
      </c>
    </row>
    <row r="39" spans="2:12" x14ac:dyDescent="0.3">
      <c r="B39" s="1" t="s">
        <v>4</v>
      </c>
      <c r="C39" t="s">
        <v>11</v>
      </c>
    </row>
    <row r="40" spans="2:12" x14ac:dyDescent="0.3">
      <c r="B40" s="3" t="s">
        <v>36</v>
      </c>
      <c r="C40" s="4">
        <v>6894</v>
      </c>
      <c r="I40" s="1" t="s">
        <v>11</v>
      </c>
      <c r="J40" s="1" t="s">
        <v>29</v>
      </c>
    </row>
    <row r="41" spans="2:12" x14ac:dyDescent="0.3">
      <c r="B41" s="3" t="s">
        <v>39</v>
      </c>
      <c r="C41" s="4">
        <v>3701</v>
      </c>
      <c r="I41" s="1" t="s">
        <v>4</v>
      </c>
      <c r="J41" t="s">
        <v>48</v>
      </c>
      <c r="K41" t="s">
        <v>49</v>
      </c>
      <c r="L41" t="s">
        <v>50</v>
      </c>
    </row>
    <row r="42" spans="2:12" x14ac:dyDescent="0.3">
      <c r="B42" s="3" t="s">
        <v>37</v>
      </c>
      <c r="C42" s="4">
        <v>2773</v>
      </c>
      <c r="I42" s="3" t="s">
        <v>47</v>
      </c>
      <c r="J42" s="4">
        <v>98</v>
      </c>
      <c r="K42" s="4">
        <v>17</v>
      </c>
      <c r="L42" s="4">
        <v>198</v>
      </c>
    </row>
    <row r="43" spans="2:12" x14ac:dyDescent="0.3">
      <c r="B43" s="3" t="s">
        <v>40</v>
      </c>
      <c r="C43" s="4">
        <v>2664</v>
      </c>
      <c r="I43" s="3" t="s">
        <v>46</v>
      </c>
      <c r="J43" s="4">
        <v>311</v>
      </c>
      <c r="K43" s="4">
        <v>71</v>
      </c>
      <c r="L43" s="4">
        <v>646</v>
      </c>
    </row>
    <row r="44" spans="2:12" x14ac:dyDescent="0.3">
      <c r="B44" s="3" t="s">
        <v>38</v>
      </c>
      <c r="C44" s="4">
        <v>1822</v>
      </c>
      <c r="I44" s="3" t="s">
        <v>45</v>
      </c>
      <c r="J44" s="4">
        <v>691</v>
      </c>
      <c r="K44" s="4">
        <v>175</v>
      </c>
      <c r="L44" s="4">
        <v>1920</v>
      </c>
    </row>
    <row r="45" spans="2:12" x14ac:dyDescent="0.3">
      <c r="I45" s="3" t="s">
        <v>44</v>
      </c>
      <c r="J45" s="4">
        <v>1072</v>
      </c>
      <c r="K45" s="4">
        <v>216</v>
      </c>
      <c r="L45" s="4">
        <v>3894</v>
      </c>
    </row>
    <row r="46" spans="2:12" x14ac:dyDescent="0.3">
      <c r="I46" s="3" t="s">
        <v>43</v>
      </c>
      <c r="J46" s="4">
        <v>1266</v>
      </c>
      <c r="K46" s="4">
        <v>257</v>
      </c>
      <c r="L46" s="4">
        <v>6381</v>
      </c>
    </row>
    <row r="47" spans="2:12" x14ac:dyDescent="0.3">
      <c r="I47" s="3" t="s">
        <v>42</v>
      </c>
      <c r="J47" s="4">
        <v>1343</v>
      </c>
      <c r="K47" s="4">
        <v>327</v>
      </c>
      <c r="L47" s="4">
        <v>10004</v>
      </c>
    </row>
    <row r="48" spans="2:12" x14ac:dyDescent="0.3">
      <c r="I48" s="3" t="s">
        <v>41</v>
      </c>
      <c r="J48" s="4">
        <v>552</v>
      </c>
      <c r="K48" s="4">
        <v>35</v>
      </c>
      <c r="L48" s="4">
        <v>9102</v>
      </c>
    </row>
    <row r="55" spans="2:11" x14ac:dyDescent="0.3">
      <c r="I55" s="1" t="s">
        <v>4</v>
      </c>
      <c r="J55" t="s">
        <v>24</v>
      </c>
      <c r="K55" t="s">
        <v>25</v>
      </c>
    </row>
    <row r="56" spans="2:11" x14ac:dyDescent="0.3">
      <c r="B56" s="1" t="s">
        <v>4</v>
      </c>
      <c r="C56" t="s">
        <v>11</v>
      </c>
      <c r="I56" s="3" t="s">
        <v>41</v>
      </c>
      <c r="J56" s="22">
        <v>0.12038256786046032</v>
      </c>
      <c r="K56" s="22">
        <v>7.3519713076685186E-2</v>
      </c>
    </row>
    <row r="57" spans="2:11" x14ac:dyDescent="0.3">
      <c r="B57" s="3" t="s">
        <v>51</v>
      </c>
      <c r="C57" s="4">
        <v>33998</v>
      </c>
      <c r="I57" s="3" t="s">
        <v>42</v>
      </c>
      <c r="J57" s="22">
        <v>0.13432090971389413</v>
      </c>
      <c r="K57" s="22">
        <v>0.11029087716292704</v>
      </c>
    </row>
    <row r="58" spans="2:11" x14ac:dyDescent="0.3">
      <c r="B58" s="3" t="s">
        <v>52</v>
      </c>
      <c r="C58" s="4">
        <v>4578</v>
      </c>
      <c r="I58" s="3" t="s">
        <v>43</v>
      </c>
      <c r="J58" s="22">
        <v>0.1391512398785425</v>
      </c>
      <c r="K58" s="22">
        <v>0.13546921811740983</v>
      </c>
    </row>
    <row r="59" spans="2:11" x14ac:dyDescent="0.3">
      <c r="I59" s="3" t="s">
        <v>44</v>
      </c>
      <c r="J59" s="22">
        <v>0.139807583944423</v>
      </c>
      <c r="K59" s="22">
        <v>0.15710540331918008</v>
      </c>
    </row>
    <row r="60" spans="2:11" x14ac:dyDescent="0.3">
      <c r="I60" s="3" t="s">
        <v>45</v>
      </c>
      <c r="J60" s="22">
        <v>0.14095294328786792</v>
      </c>
      <c r="K60" s="22">
        <v>0.17705229720028576</v>
      </c>
    </row>
    <row r="61" spans="2:11" x14ac:dyDescent="0.3">
      <c r="I61" s="3" t="s">
        <v>46</v>
      </c>
      <c r="J61" s="22">
        <v>0.14173774319066149</v>
      </c>
      <c r="K61" s="22">
        <v>0.19744007782101203</v>
      </c>
    </row>
    <row r="62" spans="2:11" x14ac:dyDescent="0.3">
      <c r="I62" s="3" t="s">
        <v>47</v>
      </c>
      <c r="J62" s="22">
        <v>0.14059424920127794</v>
      </c>
      <c r="K62" s="22">
        <v>0.21400638977635766</v>
      </c>
    </row>
    <row r="70" spans="1:12" x14ac:dyDescent="0.3">
      <c r="B70" s="1" t="s">
        <v>11</v>
      </c>
      <c r="C70" s="1" t="s">
        <v>29</v>
      </c>
    </row>
    <row r="71" spans="1:12" x14ac:dyDescent="0.3">
      <c r="B71" s="1" t="s">
        <v>4</v>
      </c>
      <c r="C71" t="s">
        <v>48</v>
      </c>
      <c r="D71" t="s">
        <v>49</v>
      </c>
      <c r="E71" t="s">
        <v>50</v>
      </c>
    </row>
    <row r="72" spans="1:12" x14ac:dyDescent="0.3">
      <c r="B72" s="3">
        <v>36</v>
      </c>
      <c r="C72" s="4">
        <v>3023</v>
      </c>
      <c r="D72" s="4"/>
      <c r="E72" s="4">
        <v>25214</v>
      </c>
    </row>
    <row r="73" spans="1:12" x14ac:dyDescent="0.3">
      <c r="B73" s="3">
        <v>60</v>
      </c>
      <c r="C73" s="4">
        <v>2310</v>
      </c>
      <c r="D73" s="4">
        <v>1098</v>
      </c>
      <c r="E73" s="4">
        <v>6931</v>
      </c>
    </row>
    <row r="74" spans="1:12" x14ac:dyDescent="0.3">
      <c r="B74" s="3"/>
      <c r="C74" s="4"/>
      <c r="D74" s="4"/>
      <c r="E74" s="4"/>
    </row>
    <row r="75" spans="1:12" x14ac:dyDescent="0.3">
      <c r="B75" s="3"/>
      <c r="C75" s="4"/>
      <c r="D75" s="4"/>
      <c r="E75" s="4"/>
    </row>
    <row r="76" spans="1:12" x14ac:dyDescent="0.3">
      <c r="B76" s="3"/>
      <c r="C76" s="4"/>
      <c r="D76" s="4"/>
      <c r="E76" s="4"/>
    </row>
    <row r="78" spans="1:12" x14ac:dyDescent="0.3">
      <c r="B78" s="1" t="s">
        <v>56</v>
      </c>
      <c r="G78" s="1" t="s">
        <v>11</v>
      </c>
      <c r="H78" s="1" t="s">
        <v>29</v>
      </c>
    </row>
    <row r="79" spans="1:12" x14ac:dyDescent="0.3">
      <c r="A79" s="64"/>
      <c r="B79" s="65" t="s">
        <v>27</v>
      </c>
      <c r="C79" s="65"/>
      <c r="D79" s="65" t="s">
        <v>28</v>
      </c>
      <c r="G79" s="1" t="s">
        <v>4</v>
      </c>
      <c r="H79" t="s">
        <v>59</v>
      </c>
      <c r="I79" t="s">
        <v>60</v>
      </c>
      <c r="J79" t="s">
        <v>61</v>
      </c>
      <c r="K79" t="s">
        <v>62</v>
      </c>
      <c r="L79" t="s">
        <v>63</v>
      </c>
    </row>
    <row r="80" spans="1:12" x14ac:dyDescent="0.3">
      <c r="A80" s="57" t="s">
        <v>64</v>
      </c>
      <c r="B80" s="66" t="s">
        <v>30</v>
      </c>
      <c r="C80" s="56" t="s">
        <v>31</v>
      </c>
      <c r="D80" s="66" t="s">
        <v>31</v>
      </c>
      <c r="G80" s="3" t="s">
        <v>12</v>
      </c>
      <c r="H80" s="4">
        <v>309</v>
      </c>
      <c r="I80" s="4">
        <v>1431</v>
      </c>
      <c r="J80" s="4"/>
      <c r="K80" s="4">
        <v>27</v>
      </c>
      <c r="L80" s="4">
        <v>565</v>
      </c>
    </row>
    <row r="81" spans="1:12" x14ac:dyDescent="0.3">
      <c r="A81" t="s">
        <v>24</v>
      </c>
      <c r="B81" s="59">
        <v>0.19404903758020167</v>
      </c>
      <c r="C81" s="59">
        <v>0.12716548730302119</v>
      </c>
      <c r="D81" s="22">
        <v>0.13643052565635855</v>
      </c>
      <c r="G81" s="3" t="s">
        <v>13</v>
      </c>
      <c r="H81" s="4">
        <v>264</v>
      </c>
      <c r="I81" s="4">
        <v>1447</v>
      </c>
      <c r="J81" s="4"/>
      <c r="K81" s="4">
        <v>30</v>
      </c>
      <c r="L81" s="4">
        <v>538</v>
      </c>
    </row>
    <row r="82" spans="1:12" x14ac:dyDescent="0.3">
      <c r="A82" t="s">
        <v>25</v>
      </c>
      <c r="B82" s="60">
        <v>0.16750201649862481</v>
      </c>
      <c r="C82" s="60">
        <v>0.11831080999698787</v>
      </c>
      <c r="D82" s="21">
        <v>0.12003823110655276</v>
      </c>
      <c r="G82" s="3" t="s">
        <v>14</v>
      </c>
      <c r="H82" s="4">
        <v>333</v>
      </c>
      <c r="I82" s="4">
        <v>1771</v>
      </c>
      <c r="J82" s="4">
        <v>1</v>
      </c>
      <c r="K82" s="4">
        <v>36</v>
      </c>
      <c r="L82" s="4">
        <v>486</v>
      </c>
    </row>
    <row r="83" spans="1:12" x14ac:dyDescent="0.3">
      <c r="A83" t="s">
        <v>32</v>
      </c>
      <c r="B83" s="61">
        <v>51</v>
      </c>
      <c r="C83" s="61">
        <v>501</v>
      </c>
      <c r="D83" s="4">
        <v>546</v>
      </c>
      <c r="G83" s="3" t="s">
        <v>15</v>
      </c>
      <c r="H83" s="4">
        <v>352</v>
      </c>
      <c r="I83" s="4">
        <v>1907</v>
      </c>
      <c r="J83" s="4">
        <v>3</v>
      </c>
      <c r="K83" s="4">
        <v>32</v>
      </c>
      <c r="L83" s="4">
        <v>461</v>
      </c>
    </row>
    <row r="84" spans="1:12" x14ac:dyDescent="0.3">
      <c r="A84" t="s">
        <v>33</v>
      </c>
      <c r="B84" s="61">
        <v>223</v>
      </c>
      <c r="C84" s="61">
        <v>2661</v>
      </c>
      <c r="D84" s="4">
        <v>2449</v>
      </c>
      <c r="G84" s="3" t="s">
        <v>16</v>
      </c>
      <c r="H84" s="4">
        <v>439</v>
      </c>
      <c r="I84" s="4">
        <v>1921</v>
      </c>
      <c r="J84" s="4">
        <v>78</v>
      </c>
      <c r="K84" s="4">
        <v>28</v>
      </c>
      <c r="L84" s="4">
        <v>445</v>
      </c>
    </row>
    <row r="85" spans="1:12" x14ac:dyDescent="0.3">
      <c r="A85" t="s">
        <v>34</v>
      </c>
      <c r="B85" s="61">
        <v>817</v>
      </c>
      <c r="C85" s="61">
        <v>16764</v>
      </c>
      <c r="D85" s="4">
        <v>14564</v>
      </c>
      <c r="G85" s="3" t="s">
        <v>17</v>
      </c>
      <c r="H85" s="4">
        <v>453</v>
      </c>
      <c r="I85" s="4">
        <v>2145</v>
      </c>
      <c r="J85" s="4">
        <v>96</v>
      </c>
      <c r="K85" s="4">
        <v>33</v>
      </c>
      <c r="L85" s="4">
        <v>457</v>
      </c>
    </row>
    <row r="86" spans="1:12" x14ac:dyDescent="0.3">
      <c r="A86" t="s">
        <v>66</v>
      </c>
      <c r="B86" s="62">
        <v>15254675</v>
      </c>
      <c r="C86" s="62">
        <v>224674575</v>
      </c>
      <c r="D86" s="5">
        <v>195827825</v>
      </c>
      <c r="G86" s="3" t="s">
        <v>18</v>
      </c>
      <c r="H86" s="4">
        <v>454</v>
      </c>
      <c r="I86" s="4">
        <v>2303</v>
      </c>
      <c r="J86" s="4">
        <v>119</v>
      </c>
      <c r="K86" s="4">
        <v>38</v>
      </c>
      <c r="L86" s="4">
        <v>452</v>
      </c>
    </row>
    <row r="87" spans="1:12" x14ac:dyDescent="0.3">
      <c r="A87" t="s">
        <v>58</v>
      </c>
      <c r="B87" s="62">
        <v>17183574</v>
      </c>
      <c r="C87" s="62">
        <v>243531532</v>
      </c>
      <c r="D87" s="5">
        <v>212355827</v>
      </c>
      <c r="G87" s="3" t="s">
        <v>19</v>
      </c>
      <c r="H87" s="4">
        <v>452</v>
      </c>
      <c r="I87" s="4">
        <v>2354</v>
      </c>
      <c r="J87" s="4">
        <v>122</v>
      </c>
      <c r="K87" s="4">
        <v>28</v>
      </c>
      <c r="L87" s="4">
        <v>485</v>
      </c>
    </row>
    <row r="88" spans="1:12" x14ac:dyDescent="0.3">
      <c r="A88" t="s">
        <v>55</v>
      </c>
      <c r="B88" s="63">
        <v>0.20439963336388633</v>
      </c>
      <c r="C88" s="63">
        <v>0.13354411321890997</v>
      </c>
      <c r="D88" s="2">
        <v>0.13947263511589497</v>
      </c>
      <c r="G88" s="3" t="s">
        <v>20</v>
      </c>
      <c r="H88" s="4">
        <v>521</v>
      </c>
      <c r="I88" s="4">
        <v>2363</v>
      </c>
      <c r="J88" s="4">
        <v>148</v>
      </c>
      <c r="K88" s="4">
        <v>35</v>
      </c>
      <c r="L88" s="4">
        <v>469</v>
      </c>
    </row>
    <row r="89" spans="1:12" x14ac:dyDescent="0.3">
      <c r="A89" t="s">
        <v>57</v>
      </c>
      <c r="B89" s="60">
        <v>0.83718300454717942</v>
      </c>
      <c r="C89" s="60">
        <v>0.89749044678606782</v>
      </c>
      <c r="D89" s="21">
        <v>0.89057072126049708</v>
      </c>
      <c r="G89" s="3" t="s">
        <v>21</v>
      </c>
      <c r="H89" s="4">
        <v>546</v>
      </c>
      <c r="I89" s="4">
        <v>2532</v>
      </c>
      <c r="J89" s="4">
        <v>165</v>
      </c>
      <c r="K89" s="4">
        <v>39</v>
      </c>
      <c r="L89" s="4">
        <v>514</v>
      </c>
    </row>
    <row r="90" spans="1:12" x14ac:dyDescent="0.3">
      <c r="A90" t="s">
        <v>1</v>
      </c>
      <c r="B90" s="63">
        <v>-0.17952110221192211</v>
      </c>
      <c r="C90" s="63">
        <v>-0.12289129816963688</v>
      </c>
      <c r="D90" s="2">
        <v>-0.13318081368816481</v>
      </c>
      <c r="G90" s="3" t="s">
        <v>22</v>
      </c>
      <c r="H90" s="4">
        <v>561</v>
      </c>
      <c r="I90" s="4">
        <v>2684</v>
      </c>
      <c r="J90" s="4">
        <v>153</v>
      </c>
      <c r="K90" s="4">
        <v>51</v>
      </c>
      <c r="L90" s="4">
        <v>586</v>
      </c>
    </row>
    <row r="91" spans="1:12" x14ac:dyDescent="0.3">
      <c r="G91" s="3" t="s">
        <v>23</v>
      </c>
      <c r="H91" s="4">
        <v>649</v>
      </c>
      <c r="I91" s="4">
        <v>2774</v>
      </c>
      <c r="J91" s="4">
        <v>213</v>
      </c>
      <c r="K91" s="4">
        <v>52</v>
      </c>
      <c r="L91" s="4">
        <v>626</v>
      </c>
    </row>
    <row r="97" spans="2:14" x14ac:dyDescent="0.3">
      <c r="I97" s="1" t="s">
        <v>11</v>
      </c>
      <c r="J97" s="1" t="s">
        <v>29</v>
      </c>
      <c r="M97" s="1" t="s">
        <v>11</v>
      </c>
      <c r="N97" s="1" t="s">
        <v>29</v>
      </c>
    </row>
    <row r="98" spans="2:14" x14ac:dyDescent="0.3">
      <c r="I98" s="1" t="s">
        <v>56</v>
      </c>
      <c r="J98" t="s">
        <v>72</v>
      </c>
      <c r="M98" s="1" t="s">
        <v>56</v>
      </c>
      <c r="N98" t="s">
        <v>71</v>
      </c>
    </row>
    <row r="99" spans="2:14" x14ac:dyDescent="0.3">
      <c r="B99" s="1" t="s">
        <v>11</v>
      </c>
      <c r="C99" s="1" t="s">
        <v>29</v>
      </c>
      <c r="I99" s="3" t="s">
        <v>5</v>
      </c>
      <c r="J99" s="4">
        <v>680</v>
      </c>
      <c r="M99" s="3" t="s">
        <v>5</v>
      </c>
      <c r="N99" s="4">
        <v>16518</v>
      </c>
    </row>
    <row r="100" spans="2:14" x14ac:dyDescent="0.3">
      <c r="B100" s="1" t="s">
        <v>56</v>
      </c>
      <c r="C100" t="s">
        <v>71</v>
      </c>
      <c r="D100" t="s">
        <v>72</v>
      </c>
      <c r="I100" s="3" t="s">
        <v>6</v>
      </c>
      <c r="J100" s="4">
        <v>2</v>
      </c>
      <c r="M100" s="3" t="s">
        <v>6</v>
      </c>
      <c r="N100" s="4">
        <v>1</v>
      </c>
    </row>
    <row r="101" spans="2:14" x14ac:dyDescent="0.3">
      <c r="B101" s="3" t="s">
        <v>48</v>
      </c>
      <c r="C101" s="4">
        <v>4853</v>
      </c>
      <c r="D101" s="4">
        <v>480</v>
      </c>
      <c r="I101" s="3" t="s">
        <v>7</v>
      </c>
      <c r="J101" s="4">
        <v>6</v>
      </c>
      <c r="M101" s="3" t="s">
        <v>7</v>
      </c>
      <c r="N101" s="4">
        <v>92</v>
      </c>
    </row>
    <row r="102" spans="2:14" x14ac:dyDescent="0.3">
      <c r="B102" s="3" t="s">
        <v>49</v>
      </c>
      <c r="C102" s="4">
        <v>1044</v>
      </c>
      <c r="D102" s="4">
        <v>54</v>
      </c>
      <c r="I102" s="3" t="s">
        <v>8</v>
      </c>
      <c r="J102" s="4">
        <v>206</v>
      </c>
      <c r="M102" s="3" t="s">
        <v>8</v>
      </c>
      <c r="N102" s="4">
        <v>2632</v>
      </c>
    </row>
    <row r="103" spans="2:14" x14ac:dyDescent="0.3">
      <c r="B103" s="3" t="s">
        <v>50</v>
      </c>
      <c r="C103" s="4">
        <v>29681</v>
      </c>
      <c r="D103" s="4">
        <v>2464</v>
      </c>
      <c r="I103" s="3" t="s">
        <v>9</v>
      </c>
      <c r="J103" s="4">
        <v>2104</v>
      </c>
      <c r="M103" s="3" t="s">
        <v>9</v>
      </c>
      <c r="N103" s="4">
        <v>16335</v>
      </c>
    </row>
    <row r="115" spans="2:15" x14ac:dyDescent="0.3">
      <c r="K115" s="73" t="s">
        <v>35</v>
      </c>
      <c r="L115" s="73"/>
      <c r="M115" s="73"/>
      <c r="N115" s="73"/>
      <c r="O115" s="73"/>
    </row>
    <row r="116" spans="2:15" x14ac:dyDescent="0.3">
      <c r="B116" s="1" t="s">
        <v>73</v>
      </c>
      <c r="C116" t="s" vm="1">
        <v>72</v>
      </c>
      <c r="K116" t="s">
        <v>119</v>
      </c>
      <c r="L116" t="s">
        <v>120</v>
      </c>
      <c r="M116" t="s">
        <v>121</v>
      </c>
      <c r="N116" t="s">
        <v>122</v>
      </c>
    </row>
    <row r="117" spans="2:15" x14ac:dyDescent="0.3">
      <c r="K117" s="4">
        <v>35578</v>
      </c>
      <c r="L117" s="4">
        <v>2998</v>
      </c>
      <c r="M117" s="21">
        <v>7.7716715055993368E-2</v>
      </c>
      <c r="N117" s="21">
        <v>0.89263512534304423</v>
      </c>
    </row>
    <row r="118" spans="2:15" x14ac:dyDescent="0.3">
      <c r="B118" s="1" t="s">
        <v>64</v>
      </c>
      <c r="C118" s="1" t="s">
        <v>29</v>
      </c>
      <c r="K118">
        <f>GETPIVOTDATA("[Measures].[No. of Clean Loans]",$K$116)</f>
        <v>35578</v>
      </c>
      <c r="L118">
        <f>GETPIVOTDATA("[Measures].[No. of Potential frauds]",$K$116)</f>
        <v>2998</v>
      </c>
      <c r="M118" s="34">
        <f>GETPIVOTDATA("[Measures].[% Fraud Loans]",$K$116)</f>
        <v>7.7716715055993368E-2</v>
      </c>
      <c r="N118" s="34">
        <f>GETPIVOTDATA("[Measures].[Average of repayment_efficiency_ratio]",$K$116)</f>
        <v>0.89263512534304423</v>
      </c>
    </row>
    <row r="119" spans="2:15" x14ac:dyDescent="0.3">
      <c r="B119" s="31" t="s">
        <v>56</v>
      </c>
      <c r="C119" s="24" t="s">
        <v>41</v>
      </c>
      <c r="D119" s="24" t="s">
        <v>42</v>
      </c>
      <c r="E119" s="24" t="s">
        <v>43</v>
      </c>
      <c r="F119" s="24" t="s">
        <v>44</v>
      </c>
      <c r="G119" s="24" t="s">
        <v>45</v>
      </c>
      <c r="H119" s="24" t="s">
        <v>46</v>
      </c>
      <c r="I119" s="24" t="s">
        <v>47</v>
      </c>
    </row>
    <row r="120" spans="2:15" x14ac:dyDescent="0.3">
      <c r="B120" s="32" t="s">
        <v>75</v>
      </c>
      <c r="C120" s="30"/>
      <c r="D120" s="30">
        <v>1</v>
      </c>
      <c r="E120" s="30">
        <v>1</v>
      </c>
      <c r="F120" s="30"/>
      <c r="G120" s="30">
        <v>1</v>
      </c>
      <c r="H120" s="30"/>
      <c r="I120" s="30"/>
    </row>
    <row r="121" spans="2:15" x14ac:dyDescent="0.3">
      <c r="B121" s="32" t="s">
        <v>74</v>
      </c>
      <c r="C121" s="30">
        <v>7</v>
      </c>
      <c r="D121" s="30">
        <v>4</v>
      </c>
      <c r="E121" s="30">
        <v>4</v>
      </c>
      <c r="F121" s="30">
        <v>4</v>
      </c>
      <c r="G121" s="30"/>
      <c r="H121" s="30">
        <v>1</v>
      </c>
      <c r="I121" s="30"/>
    </row>
    <row r="122" spans="2:15" x14ac:dyDescent="0.3">
      <c r="B122" s="32" t="s">
        <v>77</v>
      </c>
      <c r="C122" s="30">
        <v>3</v>
      </c>
      <c r="D122" s="30">
        <v>2</v>
      </c>
      <c r="E122" s="30">
        <v>3</v>
      </c>
      <c r="F122" s="30">
        <v>3</v>
      </c>
      <c r="G122" s="30">
        <v>1</v>
      </c>
      <c r="H122" s="30"/>
      <c r="I122" s="30"/>
    </row>
    <row r="123" spans="2:15" x14ac:dyDescent="0.3">
      <c r="B123" s="32" t="s">
        <v>76</v>
      </c>
      <c r="C123" s="30">
        <v>14</v>
      </c>
      <c r="D123" s="30">
        <v>21</v>
      </c>
      <c r="E123" s="30">
        <v>17</v>
      </c>
      <c r="F123" s="30">
        <v>8</v>
      </c>
      <c r="G123" s="30">
        <v>3</v>
      </c>
      <c r="H123" s="30">
        <v>3</v>
      </c>
      <c r="I123" s="30"/>
      <c r="K123" s="57"/>
      <c r="L123" s="57" t="s">
        <v>56</v>
      </c>
      <c r="M123" s="57"/>
      <c r="N123" s="57"/>
      <c r="O123" s="57"/>
    </row>
    <row r="124" spans="2:15" x14ac:dyDescent="0.3">
      <c r="B124" s="32" t="s">
        <v>36</v>
      </c>
      <c r="C124" s="30">
        <v>129</v>
      </c>
      <c r="D124" s="30">
        <v>216</v>
      </c>
      <c r="E124" s="30">
        <v>135</v>
      </c>
      <c r="F124" s="30">
        <v>89</v>
      </c>
      <c r="G124" s="30">
        <v>55</v>
      </c>
      <c r="H124" s="30">
        <v>18</v>
      </c>
      <c r="I124" s="30">
        <v>2</v>
      </c>
      <c r="K124" s="64"/>
      <c r="L124" s="65" t="s">
        <v>51</v>
      </c>
      <c r="M124" s="65"/>
      <c r="N124" s="65" t="s">
        <v>52</v>
      </c>
      <c r="O124" s="65"/>
    </row>
    <row r="125" spans="2:15" x14ac:dyDescent="0.3">
      <c r="B125" s="32" t="s">
        <v>78</v>
      </c>
      <c r="C125" s="30">
        <v>16</v>
      </c>
      <c r="D125" s="30">
        <v>19</v>
      </c>
      <c r="E125" s="30">
        <v>14</v>
      </c>
      <c r="F125" s="30">
        <v>9</v>
      </c>
      <c r="G125" s="30">
        <v>9</v>
      </c>
      <c r="H125" s="30">
        <v>2</v>
      </c>
      <c r="I125" s="30"/>
      <c r="K125" s="57" t="s">
        <v>56</v>
      </c>
      <c r="L125" s="58" t="s">
        <v>71</v>
      </c>
      <c r="M125" s="58" t="s">
        <v>72</v>
      </c>
      <c r="N125" s="58" t="s">
        <v>71</v>
      </c>
      <c r="O125" s="58" t="s">
        <v>72</v>
      </c>
    </row>
    <row r="126" spans="2:15" x14ac:dyDescent="0.3">
      <c r="B126" s="32" t="s">
        <v>79</v>
      </c>
      <c r="C126" s="30">
        <v>16</v>
      </c>
      <c r="D126" s="30">
        <v>15</v>
      </c>
      <c r="E126" s="30">
        <v>19</v>
      </c>
      <c r="F126" s="30">
        <v>8</v>
      </c>
      <c r="G126" s="30">
        <v>5</v>
      </c>
      <c r="H126" s="30">
        <v>1</v>
      </c>
      <c r="I126" s="30">
        <v>2</v>
      </c>
      <c r="K126" s="3" t="s">
        <v>123</v>
      </c>
      <c r="L126" s="79"/>
      <c r="M126" s="79"/>
      <c r="N126" s="79"/>
      <c r="O126" s="78"/>
    </row>
    <row r="127" spans="2:15" x14ac:dyDescent="0.3">
      <c r="B127" s="32" t="s">
        <v>81</v>
      </c>
      <c r="C127" s="30">
        <v>2</v>
      </c>
      <c r="D127" s="30">
        <v>6</v>
      </c>
      <c r="E127" s="30">
        <v>5</v>
      </c>
      <c r="F127" s="30">
        <v>3</v>
      </c>
      <c r="G127" s="30">
        <v>3</v>
      </c>
      <c r="H127" s="30">
        <v>1</v>
      </c>
      <c r="I127" s="30"/>
      <c r="K127" s="29" t="s">
        <v>65</v>
      </c>
      <c r="L127" s="61">
        <v>993</v>
      </c>
      <c r="M127" s="61">
        <v>29</v>
      </c>
      <c r="N127" s="61">
        <v>51</v>
      </c>
      <c r="O127" s="25">
        <v>25</v>
      </c>
    </row>
    <row r="128" spans="2:15" x14ac:dyDescent="0.3">
      <c r="B128" s="32" t="s">
        <v>80</v>
      </c>
      <c r="C128" s="30">
        <v>1</v>
      </c>
      <c r="D128" s="30">
        <v>3</v>
      </c>
      <c r="E128" s="30">
        <v>3</v>
      </c>
      <c r="F128" s="30">
        <v>1</v>
      </c>
      <c r="G128" s="30"/>
      <c r="H128" s="30"/>
      <c r="I128" s="30"/>
      <c r="K128" s="29" t="s">
        <v>57</v>
      </c>
      <c r="L128" s="60">
        <v>0.92370863690422711</v>
      </c>
      <c r="M128" s="60">
        <v>0.91827999351555545</v>
      </c>
      <c r="N128" s="60">
        <v>0.92701725522395306</v>
      </c>
      <c r="O128" s="28">
        <v>0.93412519103237923</v>
      </c>
    </row>
    <row r="129" spans="2:15" x14ac:dyDescent="0.3">
      <c r="B129" s="32" t="s">
        <v>37</v>
      </c>
      <c r="C129" s="30">
        <v>53</v>
      </c>
      <c r="D129" s="30">
        <v>68</v>
      </c>
      <c r="E129" s="30">
        <v>48</v>
      </c>
      <c r="F129" s="30">
        <v>35</v>
      </c>
      <c r="G129" s="30">
        <v>11</v>
      </c>
      <c r="H129" s="30">
        <v>5</v>
      </c>
      <c r="I129" s="30">
        <v>2</v>
      </c>
      <c r="K129" s="29" t="s">
        <v>125</v>
      </c>
      <c r="L129" s="61">
        <v>648</v>
      </c>
      <c r="M129" s="61">
        <v>18</v>
      </c>
      <c r="N129" s="61">
        <v>19</v>
      </c>
      <c r="O129" s="25">
        <v>3</v>
      </c>
    </row>
    <row r="130" spans="2:15" x14ac:dyDescent="0.3">
      <c r="B130" s="32" t="s">
        <v>82</v>
      </c>
      <c r="C130" s="30">
        <v>22</v>
      </c>
      <c r="D130" s="30">
        <v>23</v>
      </c>
      <c r="E130" s="30">
        <v>17</v>
      </c>
      <c r="F130" s="30">
        <v>12</v>
      </c>
      <c r="G130" s="30">
        <v>9</v>
      </c>
      <c r="H130" s="30">
        <v>1</v>
      </c>
      <c r="I130" s="30"/>
      <c r="K130" s="29" t="s">
        <v>126</v>
      </c>
      <c r="L130" s="67">
        <v>17501.132930513595</v>
      </c>
      <c r="M130" s="67">
        <v>19944.827586206895</v>
      </c>
      <c r="N130" s="67">
        <v>13391.176470588236</v>
      </c>
      <c r="O130" s="38">
        <v>9061</v>
      </c>
    </row>
    <row r="131" spans="2:15" x14ac:dyDescent="0.3">
      <c r="B131" s="32" t="s">
        <v>83</v>
      </c>
      <c r="C131" s="30">
        <v>4</v>
      </c>
      <c r="D131" s="30">
        <v>6</v>
      </c>
      <c r="E131" s="30">
        <v>3</v>
      </c>
      <c r="F131" s="30">
        <v>3</v>
      </c>
      <c r="G131" s="30">
        <v>1</v>
      </c>
      <c r="H131" s="30"/>
      <c r="I131" s="30"/>
      <c r="K131" s="3" t="s">
        <v>124</v>
      </c>
      <c r="L131" s="79"/>
      <c r="M131" s="79"/>
      <c r="N131" s="79"/>
      <c r="O131" s="78"/>
    </row>
    <row r="132" spans="2:15" x14ac:dyDescent="0.3">
      <c r="B132" s="32" t="s">
        <v>84</v>
      </c>
      <c r="C132" s="30"/>
      <c r="D132" s="30">
        <v>1</v>
      </c>
      <c r="E132" s="30"/>
      <c r="F132" s="30"/>
      <c r="G132" s="30"/>
      <c r="H132" s="30"/>
      <c r="I132" s="30"/>
      <c r="K132" s="29" t="s">
        <v>65</v>
      </c>
      <c r="L132" s="61">
        <v>4340</v>
      </c>
      <c r="M132" s="61">
        <v>259</v>
      </c>
      <c r="N132" s="61">
        <v>513</v>
      </c>
      <c r="O132" s="25">
        <v>221</v>
      </c>
    </row>
    <row r="133" spans="2:15" x14ac:dyDescent="0.3">
      <c r="B133" s="32" t="s">
        <v>85</v>
      </c>
      <c r="C133" s="30">
        <v>29</v>
      </c>
      <c r="D133" s="30">
        <v>33</v>
      </c>
      <c r="E133" s="30">
        <v>24</v>
      </c>
      <c r="F133" s="30">
        <v>13</v>
      </c>
      <c r="G133" s="30">
        <v>6</v>
      </c>
      <c r="H133" s="30">
        <v>1</v>
      </c>
      <c r="I133" s="30"/>
      <c r="K133" s="29" t="s">
        <v>57</v>
      </c>
      <c r="L133" s="60">
        <v>0.44974406761685909</v>
      </c>
      <c r="M133" s="60">
        <v>0.44509935914933085</v>
      </c>
      <c r="N133" s="60">
        <v>0.45146725296868795</v>
      </c>
      <c r="O133" s="28">
        <v>0.48008403284641399</v>
      </c>
    </row>
    <row r="134" spans="2:15" x14ac:dyDescent="0.3">
      <c r="B134" s="32" t="s">
        <v>86</v>
      </c>
      <c r="C134" s="30"/>
      <c r="D134" s="30">
        <v>1</v>
      </c>
      <c r="E134" s="30"/>
      <c r="F134" s="30"/>
      <c r="G134" s="30"/>
      <c r="H134" s="30"/>
      <c r="I134" s="30"/>
      <c r="K134" s="29" t="s">
        <v>125</v>
      </c>
      <c r="L134" s="61">
        <v>2291</v>
      </c>
      <c r="M134" s="61">
        <v>145</v>
      </c>
      <c r="N134" s="61">
        <v>171</v>
      </c>
      <c r="O134" s="25">
        <v>21</v>
      </c>
    </row>
    <row r="135" spans="2:15" x14ac:dyDescent="0.3">
      <c r="B135" s="32" t="s">
        <v>87</v>
      </c>
      <c r="C135" s="30">
        <v>4</v>
      </c>
      <c r="D135" s="30">
        <v>2</v>
      </c>
      <c r="E135" s="30">
        <v>1</v>
      </c>
      <c r="F135" s="30">
        <v>3</v>
      </c>
      <c r="G135" s="30">
        <v>2</v>
      </c>
      <c r="H135" s="30">
        <v>1</v>
      </c>
      <c r="I135" s="30"/>
      <c r="K135" s="29" t="s">
        <v>126</v>
      </c>
      <c r="L135" s="67">
        <v>13052.096774193549</v>
      </c>
      <c r="M135" s="67">
        <v>11966.602316602317</v>
      </c>
      <c r="N135" s="67">
        <v>9158.5282651072121</v>
      </c>
      <c r="O135" s="38">
        <v>4925.1131221719461</v>
      </c>
    </row>
    <row r="136" spans="2:15" x14ac:dyDescent="0.3">
      <c r="B136" s="32" t="s">
        <v>88</v>
      </c>
      <c r="C136" s="30">
        <v>6</v>
      </c>
      <c r="D136" s="30">
        <v>6</v>
      </c>
      <c r="E136" s="30">
        <v>3</v>
      </c>
      <c r="F136" s="30"/>
      <c r="G136" s="30">
        <v>1</v>
      </c>
      <c r="H136" s="30"/>
      <c r="I136" s="30">
        <v>1</v>
      </c>
      <c r="K136" s="3" t="s">
        <v>117</v>
      </c>
      <c r="L136" s="79"/>
      <c r="M136" s="79"/>
      <c r="N136" s="79"/>
      <c r="O136" s="78"/>
    </row>
    <row r="137" spans="2:15" x14ac:dyDescent="0.3">
      <c r="B137" s="32" t="s">
        <v>89</v>
      </c>
      <c r="C137" s="30">
        <v>5</v>
      </c>
      <c r="D137" s="30">
        <v>9</v>
      </c>
      <c r="E137" s="30">
        <v>7</v>
      </c>
      <c r="F137" s="30">
        <v>6</v>
      </c>
      <c r="G137" s="30">
        <v>2</v>
      </c>
      <c r="H137" s="30">
        <v>1</v>
      </c>
      <c r="I137" s="30"/>
      <c r="K137" s="29" t="s">
        <v>65</v>
      </c>
      <c r="L137" s="61">
        <v>26042</v>
      </c>
      <c r="M137" s="61">
        <v>1219</v>
      </c>
      <c r="N137" s="61">
        <v>2538</v>
      </c>
      <c r="O137" s="25">
        <v>1164</v>
      </c>
    </row>
    <row r="138" spans="2:15" x14ac:dyDescent="0.3">
      <c r="B138" s="32" t="s">
        <v>92</v>
      </c>
      <c r="C138" s="30">
        <v>24</v>
      </c>
      <c r="D138" s="30">
        <v>36</v>
      </c>
      <c r="E138" s="30">
        <v>21</v>
      </c>
      <c r="F138" s="30">
        <v>15</v>
      </c>
      <c r="G138" s="30">
        <v>3</v>
      </c>
      <c r="H138" s="30">
        <v>1</v>
      </c>
      <c r="I138" s="30">
        <v>2</v>
      </c>
      <c r="K138" s="29" t="s">
        <v>57</v>
      </c>
      <c r="L138" s="60">
        <v>0.96451381961727267</v>
      </c>
      <c r="M138" s="60">
        <v>0.9719575531612088</v>
      </c>
      <c r="N138" s="60">
        <v>0.96950477147181968</v>
      </c>
      <c r="O138" s="28">
        <v>0.96927442184452461</v>
      </c>
    </row>
    <row r="139" spans="2:15" x14ac:dyDescent="0.3">
      <c r="B139" s="32" t="s">
        <v>91</v>
      </c>
      <c r="C139" s="30">
        <v>16</v>
      </c>
      <c r="D139" s="30">
        <v>13</v>
      </c>
      <c r="E139" s="30">
        <v>15</v>
      </c>
      <c r="F139" s="30">
        <v>15</v>
      </c>
      <c r="G139" s="30">
        <v>4</v>
      </c>
      <c r="H139" s="30">
        <v>2</v>
      </c>
      <c r="I139" s="30"/>
      <c r="K139" s="29" t="s">
        <v>125</v>
      </c>
      <c r="L139" s="61">
        <v>14448</v>
      </c>
      <c r="M139" s="61">
        <v>614</v>
      </c>
      <c r="N139" s="61">
        <v>871</v>
      </c>
      <c r="O139" s="25">
        <v>53</v>
      </c>
    </row>
    <row r="140" spans="2:15" x14ac:dyDescent="0.3">
      <c r="B140" s="32" t="s">
        <v>90</v>
      </c>
      <c r="C140" s="30"/>
      <c r="D140" s="30">
        <v>1</v>
      </c>
      <c r="E140" s="30">
        <v>1</v>
      </c>
      <c r="F140" s="30"/>
      <c r="G140" s="30"/>
      <c r="H140" s="30"/>
      <c r="I140" s="30"/>
      <c r="K140" s="29" t="s">
        <v>126</v>
      </c>
      <c r="L140" s="67">
        <v>11189.115659319561</v>
      </c>
      <c r="M140" s="67">
        <v>10214.273995077932</v>
      </c>
      <c r="N140" s="67">
        <v>8276.2706855791967</v>
      </c>
      <c r="O140" s="38">
        <v>4524.1408934707906</v>
      </c>
    </row>
    <row r="141" spans="2:15" x14ac:dyDescent="0.3">
      <c r="B141" s="32" t="s">
        <v>93</v>
      </c>
      <c r="C141" s="30">
        <v>11</v>
      </c>
      <c r="D141" s="30">
        <v>8</v>
      </c>
      <c r="E141" s="30">
        <v>6</v>
      </c>
      <c r="F141" s="30">
        <v>6</v>
      </c>
      <c r="G141" s="30">
        <v>4</v>
      </c>
      <c r="H141" s="30">
        <v>3</v>
      </c>
      <c r="I141" s="30"/>
      <c r="K141" s="3" t="s">
        <v>118</v>
      </c>
      <c r="L141" s="79"/>
      <c r="M141" s="79"/>
      <c r="N141" s="79"/>
      <c r="O141" s="78"/>
    </row>
    <row r="142" spans="2:15" x14ac:dyDescent="0.3">
      <c r="B142" s="32" t="s">
        <v>94</v>
      </c>
      <c r="C142" s="30">
        <v>6</v>
      </c>
      <c r="D142" s="30">
        <v>14</v>
      </c>
      <c r="E142" s="30">
        <v>9</v>
      </c>
      <c r="F142" s="30">
        <v>4</v>
      </c>
      <c r="G142" s="30"/>
      <c r="H142" s="30">
        <v>2</v>
      </c>
      <c r="I142" s="30"/>
      <c r="K142" s="29" t="s">
        <v>65</v>
      </c>
      <c r="L142" s="61">
        <v>1061</v>
      </c>
      <c r="M142" s="61">
        <v>55</v>
      </c>
      <c r="N142" s="61">
        <v>40</v>
      </c>
      <c r="O142" s="25">
        <v>26</v>
      </c>
    </row>
    <row r="143" spans="2:15" x14ac:dyDescent="0.3">
      <c r="B143" s="32" t="s">
        <v>96</v>
      </c>
      <c r="C143" s="30">
        <v>6</v>
      </c>
      <c r="D143" s="30">
        <v>11</v>
      </c>
      <c r="E143" s="30">
        <v>9</v>
      </c>
      <c r="F143" s="30">
        <v>6</v>
      </c>
      <c r="G143" s="30">
        <v>5</v>
      </c>
      <c r="H143" s="30">
        <v>2</v>
      </c>
      <c r="I143" s="30"/>
      <c r="K143" s="29" t="s">
        <v>57</v>
      </c>
      <c r="L143" s="60">
        <v>0.95039223009379781</v>
      </c>
      <c r="M143" s="60">
        <v>0.9480864521091662</v>
      </c>
      <c r="N143" s="60">
        <v>0.94850883077942283</v>
      </c>
      <c r="O143" s="28">
        <v>0.95933002495160058</v>
      </c>
    </row>
    <row r="144" spans="2:15" x14ac:dyDescent="0.3">
      <c r="B144" s="32" t="s">
        <v>95</v>
      </c>
      <c r="C144" s="30">
        <v>1</v>
      </c>
      <c r="D144" s="30"/>
      <c r="E144" s="30">
        <v>1</v>
      </c>
      <c r="F144" s="30">
        <v>1</v>
      </c>
      <c r="G144" s="30"/>
      <c r="H144" s="30"/>
      <c r="I144" s="30"/>
      <c r="K144" s="29" t="s">
        <v>125</v>
      </c>
      <c r="L144" s="61">
        <v>689</v>
      </c>
      <c r="M144" s="61">
        <v>31</v>
      </c>
      <c r="N144" s="61">
        <v>13</v>
      </c>
      <c r="O144" s="25">
        <v>1</v>
      </c>
    </row>
    <row r="145" spans="2:21" x14ac:dyDescent="0.3">
      <c r="B145" s="32" t="s">
        <v>97</v>
      </c>
      <c r="C145" s="30">
        <v>5</v>
      </c>
      <c r="D145" s="30">
        <v>2</v>
      </c>
      <c r="E145" s="30">
        <v>1</v>
      </c>
      <c r="F145" s="30"/>
      <c r="G145" s="30">
        <v>1</v>
      </c>
      <c r="H145" s="30"/>
      <c r="I145" s="30"/>
      <c r="K145" s="29" t="s">
        <v>126</v>
      </c>
      <c r="L145" s="67">
        <v>18194.250706880302</v>
      </c>
      <c r="M145" s="67">
        <v>18465.454545454544</v>
      </c>
      <c r="N145" s="67">
        <v>15548.125</v>
      </c>
      <c r="O145" s="38">
        <v>11819.23076923077</v>
      </c>
    </row>
    <row r="146" spans="2:21" x14ac:dyDescent="0.3">
      <c r="B146" s="32" t="s">
        <v>101</v>
      </c>
      <c r="C146" s="30">
        <v>15</v>
      </c>
      <c r="D146" s="30">
        <v>17</v>
      </c>
      <c r="E146" s="30">
        <v>12</v>
      </c>
      <c r="F146" s="30">
        <v>5</v>
      </c>
      <c r="G146" s="30">
        <v>2</v>
      </c>
      <c r="H146" s="30">
        <v>3</v>
      </c>
      <c r="I146" s="30">
        <v>1</v>
      </c>
    </row>
    <row r="147" spans="2:21" x14ac:dyDescent="0.3">
      <c r="B147" s="32" t="s">
        <v>99</v>
      </c>
      <c r="C147" s="30">
        <v>5</v>
      </c>
      <c r="D147" s="30">
        <v>3</v>
      </c>
      <c r="E147" s="30">
        <v>1</v>
      </c>
      <c r="F147" s="30"/>
      <c r="G147" s="30">
        <v>1</v>
      </c>
      <c r="H147" s="30"/>
      <c r="I147" s="30"/>
    </row>
    <row r="148" spans="2:21" x14ac:dyDescent="0.3">
      <c r="B148" s="32" t="s">
        <v>38</v>
      </c>
      <c r="C148" s="30">
        <v>30</v>
      </c>
      <c r="D148" s="30">
        <v>36</v>
      </c>
      <c r="E148" s="30">
        <v>35</v>
      </c>
      <c r="F148" s="30">
        <v>18</v>
      </c>
      <c r="G148" s="30">
        <v>14</v>
      </c>
      <c r="H148" s="30">
        <v>3</v>
      </c>
      <c r="I148" s="30">
        <v>2</v>
      </c>
    </row>
    <row r="149" spans="2:21" x14ac:dyDescent="0.3">
      <c r="B149" s="32" t="s">
        <v>100</v>
      </c>
      <c r="C149" s="30">
        <v>4</v>
      </c>
      <c r="D149" s="30">
        <v>6</v>
      </c>
      <c r="E149" s="30">
        <v>4</v>
      </c>
      <c r="F149" s="30">
        <v>2</v>
      </c>
      <c r="G149" s="30">
        <v>2</v>
      </c>
      <c r="H149" s="30"/>
      <c r="I149" s="30"/>
    </row>
    <row r="150" spans="2:21" x14ac:dyDescent="0.3">
      <c r="B150" s="32" t="s">
        <v>98</v>
      </c>
      <c r="C150" s="30">
        <v>2</v>
      </c>
      <c r="D150" s="30">
        <v>13</v>
      </c>
      <c r="E150" s="30">
        <v>8</v>
      </c>
      <c r="F150" s="30">
        <v>10</v>
      </c>
      <c r="G150" s="30">
        <v>3</v>
      </c>
      <c r="H150" s="30">
        <v>2</v>
      </c>
      <c r="I150" s="30"/>
    </row>
    <row r="151" spans="2:21" x14ac:dyDescent="0.3">
      <c r="B151" s="32" t="s">
        <v>39</v>
      </c>
      <c r="C151" s="30">
        <v>89</v>
      </c>
      <c r="D151" s="30">
        <v>111</v>
      </c>
      <c r="E151" s="30">
        <v>72</v>
      </c>
      <c r="F151" s="30">
        <v>46</v>
      </c>
      <c r="G151" s="30">
        <v>16</v>
      </c>
      <c r="H151" s="30">
        <v>9</v>
      </c>
      <c r="I151" s="30">
        <v>2</v>
      </c>
    </row>
    <row r="152" spans="2:21" x14ac:dyDescent="0.3">
      <c r="B152" s="32" t="s">
        <v>102</v>
      </c>
      <c r="C152" s="30">
        <v>16</v>
      </c>
      <c r="D152" s="30">
        <v>24</v>
      </c>
      <c r="E152" s="30">
        <v>10</v>
      </c>
      <c r="F152" s="30">
        <v>11</v>
      </c>
      <c r="G152" s="30">
        <v>5</v>
      </c>
      <c r="H152" s="30">
        <v>2</v>
      </c>
      <c r="I152" s="30">
        <v>1</v>
      </c>
    </row>
    <row r="153" spans="2:21" x14ac:dyDescent="0.3">
      <c r="B153" s="32" t="s">
        <v>103</v>
      </c>
      <c r="C153" s="30">
        <v>3</v>
      </c>
      <c r="D153" s="30">
        <v>5</v>
      </c>
      <c r="E153" s="30">
        <v>2</v>
      </c>
      <c r="F153" s="30">
        <v>2</v>
      </c>
      <c r="G153" s="30">
        <v>1</v>
      </c>
      <c r="H153" s="30">
        <v>1</v>
      </c>
      <c r="I153" s="30"/>
      <c r="K153" s="1" t="s">
        <v>56</v>
      </c>
      <c r="L153" t="s">
        <v>25</v>
      </c>
      <c r="M153" t="s">
        <v>126</v>
      </c>
      <c r="N153" t="s">
        <v>68</v>
      </c>
      <c r="O153" t="s">
        <v>67</v>
      </c>
      <c r="P153" t="s">
        <v>57</v>
      </c>
      <c r="R153" t="s">
        <v>129</v>
      </c>
      <c r="S153" t="s">
        <v>67</v>
      </c>
      <c r="T153" t="s">
        <v>126</v>
      </c>
      <c r="U153" t="s">
        <v>25</v>
      </c>
    </row>
    <row r="154" spans="2:21" x14ac:dyDescent="0.3">
      <c r="B154" s="32" t="s">
        <v>104</v>
      </c>
      <c r="C154" s="30">
        <v>13</v>
      </c>
      <c r="D154" s="30">
        <v>8</v>
      </c>
      <c r="E154" s="30">
        <v>5</v>
      </c>
      <c r="F154" s="30">
        <v>5</v>
      </c>
      <c r="G154" s="30">
        <v>4</v>
      </c>
      <c r="H154" s="30">
        <v>3</v>
      </c>
      <c r="I154" s="30">
        <v>1</v>
      </c>
      <c r="K154" s="3" t="s">
        <v>75</v>
      </c>
      <c r="L154" s="21">
        <v>0.12791538461538465</v>
      </c>
      <c r="M154" s="35">
        <v>13228.205128205129</v>
      </c>
      <c r="N154" s="2">
        <v>3.8461538461538464E-2</v>
      </c>
      <c r="O154" s="21">
        <v>3.8461538461538464E-2</v>
      </c>
      <c r="P154" s="21">
        <v>0.85962407213418202</v>
      </c>
      <c r="R154" t="str">
        <f>K154</f>
        <v>AK</v>
      </c>
      <c r="S154" s="34">
        <f>GETPIVOTDATA("[Measures].[% Fraud Loans]",$K$153,"[bank_loan_data].[address_state]","[bank_loan_data].[address_state].&amp;[AK]")</f>
        <v>3.8461538461538464E-2</v>
      </c>
      <c r="T154" s="35">
        <f>GETPIVOTDATA("[Measures].[Average of loan_amount]",$K$153,"[bank_loan_data].[address_state]","[bank_loan_data].[address_state].&amp;[AK]")</f>
        <v>13228.205128205129</v>
      </c>
      <c r="U154" s="34">
        <f>GETPIVOTDATA("[Measures].[Average of int_rate]",$K$153,"[bank_loan_data].[address_state]","[bank_loan_data].[address_state].&amp;[AK]")</f>
        <v>0.12791538461538465</v>
      </c>
    </row>
    <row r="155" spans="2:21" x14ac:dyDescent="0.3">
      <c r="B155" s="32" t="s">
        <v>105</v>
      </c>
      <c r="C155" s="30">
        <v>19</v>
      </c>
      <c r="D155" s="30">
        <v>27</v>
      </c>
      <c r="E155" s="30">
        <v>28</v>
      </c>
      <c r="F155" s="30">
        <v>8</v>
      </c>
      <c r="G155" s="30">
        <v>6</v>
      </c>
      <c r="H155" s="30"/>
      <c r="I155" s="30"/>
      <c r="K155" s="3" t="s">
        <v>74</v>
      </c>
      <c r="L155" s="21">
        <v>0.11859444444444457</v>
      </c>
      <c r="M155" s="35">
        <v>11456.539351851852</v>
      </c>
      <c r="N155" s="2"/>
      <c r="O155" s="21">
        <v>4.6296296296296294E-2</v>
      </c>
      <c r="P155" s="21">
        <v>0.91094739799857583</v>
      </c>
      <c r="R155" t="str">
        <f t="shared" ref="R155:R203" si="0">K155</f>
        <v>AL</v>
      </c>
      <c r="S155" s="34">
        <f>GETPIVOTDATA("[Measures].[% Fraud Loans]",$K$153,"[bank_loan_data].[address_state]","[bank_loan_data].[address_state].&amp;[AL]")</f>
        <v>4.6296296296296294E-2</v>
      </c>
      <c r="T155" s="35">
        <f>GETPIVOTDATA("[Measures].[Average of loan_amount]",$K$153,"[bank_loan_data].[address_state]","[bank_loan_data].[address_state].&amp;[AL]")</f>
        <v>11456.539351851852</v>
      </c>
      <c r="U155" s="34">
        <f>GETPIVOTDATA("[Measures].[Average of int_rate]",$K$153,"[bank_loan_data].[address_state]","[bank_loan_data].[address_state].&amp;[AL]")</f>
        <v>0.11859444444444457</v>
      </c>
    </row>
    <row r="156" spans="2:21" x14ac:dyDescent="0.3">
      <c r="B156" s="32" t="s">
        <v>106</v>
      </c>
      <c r="C156" s="30">
        <v>2</v>
      </c>
      <c r="D156" s="30">
        <v>4</v>
      </c>
      <c r="E156" s="30">
        <v>5</v>
      </c>
      <c r="F156" s="30">
        <v>3</v>
      </c>
      <c r="G156" s="30">
        <v>2</v>
      </c>
      <c r="H156" s="30"/>
      <c r="I156" s="30"/>
      <c r="K156" s="3" t="s">
        <v>77</v>
      </c>
      <c r="L156" s="21">
        <v>0.11755720338983046</v>
      </c>
      <c r="M156" s="35">
        <v>10719.06779661017</v>
      </c>
      <c r="N156" s="2"/>
      <c r="O156" s="21">
        <v>5.0847457627118647E-2</v>
      </c>
      <c r="P156" s="21">
        <v>0.90570930613017253</v>
      </c>
      <c r="R156" t="str">
        <f t="shared" si="0"/>
        <v>AR</v>
      </c>
      <c r="S156" s="34">
        <f>GETPIVOTDATA("[Measures].[% Fraud Loans]",$K$153,"[bank_loan_data].[address_state]","[bank_loan_data].[address_state].&amp;[AR]")</f>
        <v>5.0847457627118647E-2</v>
      </c>
      <c r="T156" s="35">
        <f>GETPIVOTDATA("[Measures].[Average of loan_amount]",$K$153,"[bank_loan_data].[address_state]","[bank_loan_data].[address_state].&amp;[AR]")</f>
        <v>10719.06779661017</v>
      </c>
      <c r="U156" s="34">
        <f>GETPIVOTDATA("[Measures].[Average of int_rate]",$K$153,"[bank_loan_data].[address_state]","[bank_loan_data].[address_state].&amp;[AR]")</f>
        <v>0.11755720338983046</v>
      </c>
    </row>
    <row r="157" spans="2:21" x14ac:dyDescent="0.3">
      <c r="B157" s="32" t="s">
        <v>107</v>
      </c>
      <c r="C157" s="30">
        <v>8</v>
      </c>
      <c r="D157" s="30">
        <v>8</v>
      </c>
      <c r="E157" s="30">
        <v>5</v>
      </c>
      <c r="F157" s="30">
        <v>8</v>
      </c>
      <c r="G157" s="30">
        <v>2</v>
      </c>
      <c r="H157" s="30">
        <v>1</v>
      </c>
      <c r="I157" s="30"/>
      <c r="K157" s="3" t="s">
        <v>76</v>
      </c>
      <c r="L157" s="21">
        <v>0.12243145258103247</v>
      </c>
      <c r="M157" s="35">
        <v>11051.620648259304</v>
      </c>
      <c r="N157" s="2"/>
      <c r="O157" s="21">
        <v>7.9231692677070822E-2</v>
      </c>
      <c r="P157" s="21">
        <v>0.88765783356655403</v>
      </c>
      <c r="R157" t="str">
        <f t="shared" si="0"/>
        <v>AZ</v>
      </c>
      <c r="S157" s="34">
        <f>GETPIVOTDATA("[Measures].[% Fraud Loans]",$K$153,"[bank_loan_data].[address_state]","[bank_loan_data].[address_state].&amp;[AZ]")</f>
        <v>7.9231692677070822E-2</v>
      </c>
      <c r="T157" s="35">
        <f>GETPIVOTDATA("[Measures].[Average of loan_amount]",$K$153,"[bank_loan_data].[address_state]","[bank_loan_data].[address_state].&amp;[AZ]")</f>
        <v>11051.620648259304</v>
      </c>
      <c r="U157" s="34">
        <f>GETPIVOTDATA("[Measures].[Average of int_rate]",$K$153,"[bank_loan_data].[address_state]","[bank_loan_data].[address_state].&amp;[AZ]")</f>
        <v>0.12243145258103247</v>
      </c>
    </row>
    <row r="158" spans="2:21" x14ac:dyDescent="0.3">
      <c r="B158" s="32" t="s">
        <v>108</v>
      </c>
      <c r="C158" s="30">
        <v>1</v>
      </c>
      <c r="D158" s="30">
        <v>4</v>
      </c>
      <c r="E158" s="30">
        <v>2</v>
      </c>
      <c r="F158" s="30"/>
      <c r="G158" s="30"/>
      <c r="H158" s="30"/>
      <c r="I158" s="30"/>
      <c r="K158" s="3" t="s">
        <v>36</v>
      </c>
      <c r="L158" s="21">
        <v>0.12148224543080996</v>
      </c>
      <c r="M158" s="35">
        <v>11384.410356832028</v>
      </c>
      <c r="N158" s="2">
        <v>5.8891789962286042E-2</v>
      </c>
      <c r="O158" s="21">
        <v>9.3414563388453734E-2</v>
      </c>
      <c r="P158" s="21">
        <v>0.88435342961082064</v>
      </c>
      <c r="R158" t="str">
        <f t="shared" si="0"/>
        <v>CA</v>
      </c>
      <c r="S158" s="34">
        <f>GETPIVOTDATA("[Measures].[% Fraud Loans]",$K$153,"[bank_loan_data].[address_state]","[bank_loan_data].[address_state].&amp;[CA]")</f>
        <v>9.3414563388453734E-2</v>
      </c>
      <c r="T158" s="35">
        <f>GETPIVOTDATA("[Measures].[Average of loan_amount]",$K$153,"[bank_loan_data].[address_state]","[bank_loan_data].[address_state].&amp;[CA]")</f>
        <v>11384.410356832028</v>
      </c>
      <c r="U158" s="34">
        <f>GETPIVOTDATA("[Measures].[Average of int_rate]",$K$153,"[bank_loan_data].[address_state]","[bank_loan_data].[address_state].&amp;[CA]")</f>
        <v>0.12148224543080996</v>
      </c>
    </row>
    <row r="159" spans="2:21" x14ac:dyDescent="0.3">
      <c r="B159" s="32" t="s">
        <v>109</v>
      </c>
      <c r="C159" s="30"/>
      <c r="D159" s="30">
        <v>2</v>
      </c>
      <c r="E159" s="30"/>
      <c r="F159" s="30"/>
      <c r="G159" s="30"/>
      <c r="H159" s="30"/>
      <c r="I159" s="30"/>
      <c r="K159" s="3" t="s">
        <v>78</v>
      </c>
      <c r="L159" s="21">
        <v>0.11815025974026004</v>
      </c>
      <c r="M159" s="35">
        <v>11657.142857142857</v>
      </c>
      <c r="N159" s="2"/>
      <c r="O159" s="21">
        <v>8.9610389610389612E-2</v>
      </c>
      <c r="P159" s="21">
        <v>0.90601816876172503</v>
      </c>
      <c r="R159" t="str">
        <f t="shared" si="0"/>
        <v>CO</v>
      </c>
      <c r="S159" s="34">
        <f>GETPIVOTDATA("[Measures].[% Fraud Loans]",$K$153,"[bank_loan_data].[address_state]","[bank_loan_data].[address_state].&amp;[CO]")</f>
        <v>8.9610389610389612E-2</v>
      </c>
      <c r="T159" s="35">
        <f>GETPIVOTDATA("[Measures].[Average of loan_amount]",$K$153,"[bank_loan_data].[address_state]","[bank_loan_data].[address_state].&amp;[CO]")</f>
        <v>11657.142857142857</v>
      </c>
      <c r="U159" s="34">
        <f>GETPIVOTDATA("[Measures].[Average of int_rate]",$K$153,"[bank_loan_data].[address_state]","[bank_loan_data].[address_state].&amp;[CO]")</f>
        <v>0.11815025974026004</v>
      </c>
    </row>
    <row r="160" spans="2:21" x14ac:dyDescent="0.3">
      <c r="B160" s="32" t="s">
        <v>40</v>
      </c>
      <c r="C160" s="30">
        <v>45</v>
      </c>
      <c r="D160" s="30">
        <v>50</v>
      </c>
      <c r="E160" s="30">
        <v>41</v>
      </c>
      <c r="F160" s="30">
        <v>25</v>
      </c>
      <c r="G160" s="30">
        <v>7</v>
      </c>
      <c r="H160" s="30">
        <v>6</v>
      </c>
      <c r="I160" s="30">
        <v>3</v>
      </c>
      <c r="K160" s="3" t="s">
        <v>79</v>
      </c>
      <c r="L160" s="21">
        <v>0.11910082191780839</v>
      </c>
      <c r="M160" s="35">
        <v>11555.582191780823</v>
      </c>
      <c r="N160" s="2">
        <v>5.6164383561643834E-2</v>
      </c>
      <c r="O160" s="21">
        <v>9.0410958904109592E-2</v>
      </c>
      <c r="P160" s="21">
        <v>0.90256173004306739</v>
      </c>
      <c r="R160" t="str">
        <f t="shared" si="0"/>
        <v>CT</v>
      </c>
      <c r="S160" s="34">
        <f>GETPIVOTDATA("[Measures].[% Fraud Loans]",$K$153,"[bank_loan_data].[address_state]","[bank_loan_data].[address_state].&amp;[CT]")</f>
        <v>9.0410958904109592E-2</v>
      </c>
      <c r="T160" s="35">
        <f>GETPIVOTDATA("[Measures].[Average of loan_amount]",$K$153,"[bank_loan_data].[address_state]","[bank_loan_data].[address_state].&amp;[CT]")</f>
        <v>11555.582191780823</v>
      </c>
      <c r="U160" s="34">
        <f>GETPIVOTDATA("[Measures].[Average of int_rate]",$K$153,"[bank_loan_data].[address_state]","[bank_loan_data].[address_state].&amp;[CT]")</f>
        <v>0.11910082191780839</v>
      </c>
    </row>
    <row r="161" spans="2:21" x14ac:dyDescent="0.3">
      <c r="B161" s="32" t="s">
        <v>110</v>
      </c>
      <c r="C161" s="30">
        <v>2</v>
      </c>
      <c r="D161" s="30">
        <v>10</v>
      </c>
      <c r="E161" s="30">
        <v>4</v>
      </c>
      <c r="F161" s="30">
        <v>1</v>
      </c>
      <c r="G161" s="30">
        <v>2</v>
      </c>
      <c r="H161" s="30"/>
      <c r="I161" s="30"/>
      <c r="K161" s="3" t="s">
        <v>81</v>
      </c>
      <c r="L161" s="21">
        <v>0.12046728971962613</v>
      </c>
      <c r="M161" s="35">
        <v>12394.158878504673</v>
      </c>
      <c r="N161" s="2">
        <v>2.336448598130841E-2</v>
      </c>
      <c r="O161" s="21">
        <v>9.3457943925233641E-2</v>
      </c>
      <c r="P161" s="21">
        <v>0.93014299768939301</v>
      </c>
      <c r="R161" t="str">
        <f t="shared" si="0"/>
        <v>DC</v>
      </c>
      <c r="S161" s="34">
        <f>GETPIVOTDATA("[Measures].[% Fraud Loans]",$K$153,"[bank_loan_data].[address_state]","[bank_loan_data].[address_state].&amp;[DC]")</f>
        <v>9.3457943925233641E-2</v>
      </c>
      <c r="T161" s="35">
        <f>GETPIVOTDATA("[Measures].[Average of loan_amount]",$K$153,"[bank_loan_data].[address_state]","[bank_loan_data].[address_state].&amp;[DC]")</f>
        <v>12394.158878504673</v>
      </c>
      <c r="U161" s="34">
        <f>GETPIVOTDATA("[Measures].[Average of int_rate]",$K$153,"[bank_loan_data].[address_state]","[bank_loan_data].[address_state].&amp;[DC]")</f>
        <v>0.12046728971962613</v>
      </c>
    </row>
    <row r="162" spans="2:21" x14ac:dyDescent="0.3">
      <c r="B162" s="32" t="s">
        <v>112</v>
      </c>
      <c r="C162" s="30">
        <v>27</v>
      </c>
      <c r="D162" s="30">
        <v>23</v>
      </c>
      <c r="E162" s="30">
        <v>28</v>
      </c>
      <c r="F162" s="30">
        <v>13</v>
      </c>
      <c r="G162" s="30">
        <v>5</v>
      </c>
      <c r="H162" s="30">
        <v>2</v>
      </c>
      <c r="I162" s="30">
        <v>2</v>
      </c>
      <c r="K162" s="3" t="s">
        <v>80</v>
      </c>
      <c r="L162" s="21">
        <v>0.11995636363636367</v>
      </c>
      <c r="M162" s="35">
        <v>10346.363636363636</v>
      </c>
      <c r="N162" s="2"/>
      <c r="O162" s="21">
        <v>7.2727272727272724E-2</v>
      </c>
      <c r="P162" s="21">
        <v>0.91997987251480506</v>
      </c>
      <c r="R162" t="str">
        <f t="shared" si="0"/>
        <v>DE</v>
      </c>
      <c r="S162" s="34">
        <f>GETPIVOTDATA("[Measures].[% Fraud Loans]",$K$153,"[bank_loan_data].[address_state]","[bank_loan_data].[address_state].&amp;[DE]")</f>
        <v>7.2727272727272724E-2</v>
      </c>
      <c r="T162" s="35">
        <f>GETPIVOTDATA("[Measures].[Average of loan_amount]",$K$153,"[bank_loan_data].[address_state]","[bank_loan_data].[address_state].&amp;[DE]")</f>
        <v>10346.363636363636</v>
      </c>
      <c r="U162" s="34">
        <f>GETPIVOTDATA("[Measures].[Average of int_rate]",$K$153,"[bank_loan_data].[address_state]","[bank_loan_data].[address_state].&amp;[DE]")</f>
        <v>0.11995636363636367</v>
      </c>
    </row>
    <row r="163" spans="2:21" x14ac:dyDescent="0.3">
      <c r="B163" s="32" t="s">
        <v>111</v>
      </c>
      <c r="C163" s="30">
        <v>3</v>
      </c>
      <c r="D163" s="30">
        <v>1</v>
      </c>
      <c r="E163" s="30"/>
      <c r="F163" s="30">
        <v>2</v>
      </c>
      <c r="G163" s="30"/>
      <c r="H163" s="30"/>
      <c r="I163" s="30"/>
      <c r="K163" s="3" t="s">
        <v>37</v>
      </c>
      <c r="L163" s="21">
        <v>0.11978117562207036</v>
      </c>
      <c r="M163" s="35">
        <v>10835.241615578796</v>
      </c>
      <c r="N163" s="2"/>
      <c r="O163" s="21">
        <v>8.0057699242697442E-2</v>
      </c>
      <c r="P163" s="21">
        <v>0.87509720283379033</v>
      </c>
      <c r="R163" t="str">
        <f t="shared" si="0"/>
        <v>FL</v>
      </c>
      <c r="S163" s="34">
        <f>GETPIVOTDATA("[Measures].[% Fraud Loans]",$K$153,"[bank_loan_data].[address_state]","[bank_loan_data].[address_state].&amp;[FL]")</f>
        <v>8.0057699242697442E-2</v>
      </c>
      <c r="T163" s="35">
        <f>GETPIVOTDATA("[Measures].[Average of loan_amount]",$K$153,"[bank_loan_data].[address_state]","[bank_loan_data].[address_state].&amp;[FL]")</f>
        <v>10835.241615578796</v>
      </c>
      <c r="U163" s="34">
        <f>GETPIVOTDATA("[Measures].[Average of int_rate]",$K$153,"[bank_loan_data].[address_state]","[bank_loan_data].[address_state].&amp;[FL]")</f>
        <v>0.11978117562207036</v>
      </c>
    </row>
    <row r="164" spans="2:21" x14ac:dyDescent="0.3">
      <c r="B164" s="32" t="s">
        <v>113</v>
      </c>
      <c r="C164" s="30">
        <v>14</v>
      </c>
      <c r="D164" s="30">
        <v>30</v>
      </c>
      <c r="E164" s="30">
        <v>19</v>
      </c>
      <c r="F164" s="30">
        <v>12</v>
      </c>
      <c r="G164" s="30">
        <v>5</v>
      </c>
      <c r="H164" s="30">
        <v>1</v>
      </c>
      <c r="I164" s="30">
        <v>1</v>
      </c>
      <c r="K164" s="3" t="s">
        <v>82</v>
      </c>
      <c r="L164" s="21">
        <v>0.1196204428044282</v>
      </c>
      <c r="M164" s="35">
        <v>11424.59409594096</v>
      </c>
      <c r="N164" s="2"/>
      <c r="O164" s="21">
        <v>6.1992619926199262E-2</v>
      </c>
      <c r="P164" s="21">
        <v>0.88243815644509349</v>
      </c>
      <c r="R164" t="str">
        <f t="shared" si="0"/>
        <v>GA</v>
      </c>
      <c r="S164" s="34">
        <f>GETPIVOTDATA("[Measures].[% Fraud Loans]",$K$153,"[bank_loan_data].[address_state]","[bank_loan_data].[address_state].&amp;[GA]")</f>
        <v>6.1992619926199262E-2</v>
      </c>
      <c r="T164" s="35">
        <f>GETPIVOTDATA("[Measures].[Average of loan_amount]",$K$153,"[bank_loan_data].[address_state]","[bank_loan_data].[address_state].&amp;[GA]")</f>
        <v>11424.59409594096</v>
      </c>
      <c r="U164" s="34">
        <f>GETPIVOTDATA("[Measures].[Average of int_rate]",$K$153,"[bank_loan_data].[address_state]","[bank_loan_data].[address_state].&amp;[GA]")</f>
        <v>0.1196204428044282</v>
      </c>
    </row>
    <row r="165" spans="2:21" x14ac:dyDescent="0.3">
      <c r="B165" s="32" t="s">
        <v>115</v>
      </c>
      <c r="C165" s="30">
        <v>7</v>
      </c>
      <c r="D165" s="30">
        <v>8</v>
      </c>
      <c r="E165" s="30">
        <v>11</v>
      </c>
      <c r="F165" s="30">
        <v>6</v>
      </c>
      <c r="G165" s="30">
        <v>5</v>
      </c>
      <c r="H165" s="30">
        <v>1</v>
      </c>
      <c r="I165" s="30"/>
      <c r="K165" s="3" t="s">
        <v>83</v>
      </c>
      <c r="L165" s="21">
        <v>0.12593823529411768</v>
      </c>
      <c r="M165" s="35">
        <v>10885.441176470587</v>
      </c>
      <c r="N165" s="2">
        <v>7.0588235294117646E-2</v>
      </c>
      <c r="O165" s="21">
        <v>0.1</v>
      </c>
      <c r="P165" s="21">
        <v>0.88498905686663398</v>
      </c>
      <c r="R165" t="str">
        <f t="shared" si="0"/>
        <v>HI</v>
      </c>
      <c r="S165" s="34">
        <f>GETPIVOTDATA("[Measures].[% Fraud Loans]",$K$153,"[bank_loan_data].[address_state]","[bank_loan_data].[address_state].&amp;[HI]")</f>
        <v>0.1</v>
      </c>
      <c r="T165" s="35">
        <f>GETPIVOTDATA("[Measures].[Average of loan_amount]",$K$153,"[bank_loan_data].[address_state]","[bank_loan_data].[address_state].&amp;[HI]")</f>
        <v>10885.441176470587</v>
      </c>
      <c r="U165" s="34">
        <f>GETPIVOTDATA("[Measures].[Average of int_rate]",$K$153,"[bank_loan_data].[address_state]","[bank_loan_data].[address_state].&amp;[HI]")</f>
        <v>0.12593823529411768</v>
      </c>
    </row>
    <row r="166" spans="2:21" x14ac:dyDescent="0.3">
      <c r="B166" s="32" t="s">
        <v>114</v>
      </c>
      <c r="C166" s="30">
        <v>3</v>
      </c>
      <c r="D166" s="30">
        <v>4</v>
      </c>
      <c r="E166" s="30">
        <v>3</v>
      </c>
      <c r="F166" s="30">
        <v>2</v>
      </c>
      <c r="G166" s="30"/>
      <c r="H166" s="30"/>
      <c r="I166" s="30"/>
      <c r="K166" s="3" t="s">
        <v>127</v>
      </c>
      <c r="L166" s="21">
        <v>8.974E-2</v>
      </c>
      <c r="M166" s="35">
        <v>11290</v>
      </c>
      <c r="N166" s="2"/>
      <c r="O166" s="21"/>
      <c r="P166" s="21">
        <v>0.99345871192508528</v>
      </c>
      <c r="R166" t="str">
        <f t="shared" si="0"/>
        <v>IA</v>
      </c>
      <c r="S166" s="34">
        <f>GETPIVOTDATA("[Measures].[% Fraud Loans]",$K$153,"[bank_loan_data].[address_state]","[bank_loan_data].[address_state].&amp;[IA]")</f>
        <v>0</v>
      </c>
      <c r="T166" s="35">
        <f>GETPIVOTDATA("[Measures].[Average of loan_amount]",$K$153,"[bank_loan_data].[address_state]","[bank_loan_data].[address_state].&amp;[IA]")</f>
        <v>11290</v>
      </c>
      <c r="U166" s="34">
        <f>GETPIVOTDATA("[Measures].[Average of int_rate]",$K$153,"[bank_loan_data].[address_state]","[bank_loan_data].[address_state].&amp;[IA]")</f>
        <v>8.974E-2</v>
      </c>
    </row>
    <row r="167" spans="2:21" x14ac:dyDescent="0.3">
      <c r="B167" s="32" t="s">
        <v>116</v>
      </c>
      <c r="C167" s="30"/>
      <c r="D167" s="30"/>
      <c r="E167" s="30">
        <v>1</v>
      </c>
      <c r="F167" s="30"/>
      <c r="G167" s="30"/>
      <c r="H167" s="30"/>
      <c r="I167" s="30"/>
      <c r="K167" s="3" t="s">
        <v>84</v>
      </c>
      <c r="L167" s="21">
        <v>0.11511666666666666</v>
      </c>
      <c r="M167" s="35">
        <v>9958.3333333333339</v>
      </c>
      <c r="N167" s="2"/>
      <c r="O167" s="21">
        <v>0.16666666666666666</v>
      </c>
      <c r="P167" s="21">
        <v>0.83715986539014897</v>
      </c>
      <c r="R167" t="str">
        <f t="shared" si="0"/>
        <v>ID</v>
      </c>
      <c r="S167" s="34">
        <f>GETPIVOTDATA("[Measures].[% Fraud Loans]",$K$153,"[bank_loan_data].[address_state]","[bank_loan_data].[address_state].&amp;[ID]")</f>
        <v>0.16666666666666666</v>
      </c>
      <c r="T167" s="35">
        <f>GETPIVOTDATA("[Measures].[Average of loan_amount]",$K$153,"[bank_loan_data].[address_state]","[bank_loan_data].[address_state].&amp;[ID]")</f>
        <v>9958.3333333333339</v>
      </c>
      <c r="U167" s="34">
        <f>GETPIVOTDATA("[Measures].[Average of int_rate]",$K$153,"[bank_loan_data].[address_state]","[bank_loan_data].[address_state].&amp;[ID]")</f>
        <v>0.11511666666666666</v>
      </c>
    </row>
    <row r="168" spans="2:21" x14ac:dyDescent="0.3">
      <c r="K168" s="3" t="s">
        <v>85</v>
      </c>
      <c r="L168" s="21">
        <v>0.12054138627187141</v>
      </c>
      <c r="M168" s="35">
        <v>11523.704576043068</v>
      </c>
      <c r="N168" s="2">
        <v>4.0376850605652756E-2</v>
      </c>
      <c r="O168" s="21">
        <v>7.1332436069986543E-2</v>
      </c>
      <c r="P168" s="21">
        <v>0.9012311743380168</v>
      </c>
      <c r="R168" t="str">
        <f t="shared" si="0"/>
        <v>IL</v>
      </c>
      <c r="S168" s="34">
        <f>GETPIVOTDATA("[Measures].[% Fraud Loans]",$K$153,"[bank_loan_data].[address_state]","[bank_loan_data].[address_state].&amp;[IL]")</f>
        <v>7.1332436069986543E-2</v>
      </c>
      <c r="T168" s="35">
        <f>GETPIVOTDATA("[Measures].[Average of loan_amount]",$K$153,"[bank_loan_data].[address_state]","[bank_loan_data].[address_state].&amp;[IL]")</f>
        <v>11523.704576043068</v>
      </c>
      <c r="U168" s="34">
        <f>GETPIVOTDATA("[Measures].[Average of int_rate]",$K$153,"[bank_loan_data].[address_state]","[bank_loan_data].[address_state].&amp;[IL]")</f>
        <v>0.12054138627187141</v>
      </c>
    </row>
    <row r="169" spans="2:21" x14ac:dyDescent="0.3">
      <c r="K169" s="3" t="s">
        <v>86</v>
      </c>
      <c r="L169" s="21">
        <v>0.10801111111111111</v>
      </c>
      <c r="M169" s="35">
        <v>9580.5555555555547</v>
      </c>
      <c r="N169" s="2"/>
      <c r="O169" s="21">
        <v>0.1111111111111111</v>
      </c>
      <c r="P169" s="21">
        <v>0.97726061216033555</v>
      </c>
      <c r="R169" t="str">
        <f t="shared" si="0"/>
        <v>IN</v>
      </c>
      <c r="S169" s="34">
        <f>GETPIVOTDATA("[Measures].[% Fraud Loans]",$K$153,"[bank_loan_data].[address_state]","[bank_loan_data].[address_state].&amp;[IN]")</f>
        <v>0.1111111111111111</v>
      </c>
      <c r="T169" s="35">
        <f>GETPIVOTDATA("[Measures].[Average of loan_amount]",$K$153,"[bank_loan_data].[address_state]","[bank_loan_data].[address_state].&amp;[IN]")</f>
        <v>9580.5555555555547</v>
      </c>
      <c r="U169" s="34">
        <f>GETPIVOTDATA("[Measures].[Average of int_rate]",$K$153,"[bank_loan_data].[address_state]","[bank_loan_data].[address_state].&amp;[IN]")</f>
        <v>0.10801111111111111</v>
      </c>
    </row>
    <row r="170" spans="2:21" x14ac:dyDescent="0.3">
      <c r="K170" s="3" t="s">
        <v>87</v>
      </c>
      <c r="L170" s="21">
        <v>0.11818615384615373</v>
      </c>
      <c r="M170" s="35">
        <v>11047.403846153846</v>
      </c>
      <c r="N170" s="2"/>
      <c r="O170" s="21">
        <v>0.05</v>
      </c>
      <c r="P170" s="21">
        <v>0.9107793948302968</v>
      </c>
      <c r="R170" t="str">
        <f t="shared" si="0"/>
        <v>KS</v>
      </c>
      <c r="S170" s="34">
        <f>GETPIVOTDATA("[Measures].[% Fraud Loans]",$K$153,"[bank_loan_data].[address_state]","[bank_loan_data].[address_state].&amp;[KS]")</f>
        <v>0.05</v>
      </c>
      <c r="T170" s="35">
        <f>GETPIVOTDATA("[Measures].[Average of loan_amount]",$K$153,"[bank_loan_data].[address_state]","[bank_loan_data].[address_state].&amp;[KS]")</f>
        <v>11047.403846153846</v>
      </c>
      <c r="U170" s="34">
        <f>GETPIVOTDATA("[Measures].[Average of int_rate]",$K$153,"[bank_loan_data].[address_state]","[bank_loan_data].[address_state].&amp;[KS]")</f>
        <v>0.11818615384615373</v>
      </c>
    </row>
    <row r="171" spans="2:21" x14ac:dyDescent="0.3">
      <c r="K171" s="3" t="s">
        <v>88</v>
      </c>
      <c r="L171" s="21">
        <v>0.11897562499999995</v>
      </c>
      <c r="M171" s="35">
        <v>10950.3125</v>
      </c>
      <c r="N171" s="2"/>
      <c r="O171" s="21">
        <v>5.3124999999999999E-2</v>
      </c>
      <c r="P171" s="21">
        <v>0.8847944065421125</v>
      </c>
      <c r="R171" t="str">
        <f t="shared" si="0"/>
        <v>KY</v>
      </c>
      <c r="S171" s="34">
        <f>GETPIVOTDATA("[Measures].[% Fraud Loans]",$K$153,"[bank_loan_data].[address_state]","[bank_loan_data].[address_state].&amp;[KY]")</f>
        <v>5.3124999999999999E-2</v>
      </c>
      <c r="T171" s="35">
        <f>GETPIVOTDATA("[Measures].[Average of loan_amount]",$K$153,"[bank_loan_data].[address_state]","[bank_loan_data].[address_state].&amp;[KY]")</f>
        <v>10950.3125</v>
      </c>
      <c r="U171" s="34">
        <f>GETPIVOTDATA("[Measures].[Average of int_rate]",$K$153,"[bank_loan_data].[address_state]","[bank_loan_data].[address_state].&amp;[KY]")</f>
        <v>0.11897562499999995</v>
      </c>
    </row>
    <row r="172" spans="2:21" x14ac:dyDescent="0.3">
      <c r="K172" s="3" t="s">
        <v>89</v>
      </c>
      <c r="L172" s="21">
        <v>0.11732253521126761</v>
      </c>
      <c r="M172" s="35">
        <v>10560.798122065728</v>
      </c>
      <c r="N172" s="2">
        <v>4.2253521126760563E-2</v>
      </c>
      <c r="O172" s="21">
        <v>7.0422535211267609E-2</v>
      </c>
      <c r="P172" s="21">
        <v>0.90899644833321547</v>
      </c>
      <c r="R172" t="str">
        <f t="shared" si="0"/>
        <v>LA</v>
      </c>
      <c r="S172" s="34">
        <f>GETPIVOTDATA("[Measures].[% Fraud Loans]",$K$153,"[bank_loan_data].[address_state]","[bank_loan_data].[address_state].&amp;[LA]")</f>
        <v>7.0422535211267609E-2</v>
      </c>
      <c r="T172" s="35">
        <f>GETPIVOTDATA("[Measures].[Average of loan_amount]",$K$153,"[bank_loan_data].[address_state]","[bank_loan_data].[address_state].&amp;[LA]")</f>
        <v>10560.798122065728</v>
      </c>
      <c r="U172" s="34">
        <f>GETPIVOTDATA("[Measures].[Average of int_rate]",$K$153,"[bank_loan_data].[address_state]","[bank_loan_data].[address_state].&amp;[LA]")</f>
        <v>0.11732253521126761</v>
      </c>
    </row>
    <row r="173" spans="2:21" x14ac:dyDescent="0.3">
      <c r="K173" s="3" t="s">
        <v>92</v>
      </c>
      <c r="L173" s="21">
        <v>0.1187147328244277</v>
      </c>
      <c r="M173" s="35">
        <v>11489.312977099236</v>
      </c>
      <c r="N173" s="2"/>
      <c r="O173" s="21">
        <v>7.786259541984733E-2</v>
      </c>
      <c r="P173" s="21">
        <v>0.90688557189283725</v>
      </c>
      <c r="R173" t="str">
        <f t="shared" si="0"/>
        <v>MA</v>
      </c>
      <c r="S173" s="34">
        <f>GETPIVOTDATA("[Measures].[% Fraud Loans]",$K$153,"[bank_loan_data].[address_state]","[bank_loan_data].[address_state].&amp;[MA]")</f>
        <v>7.786259541984733E-2</v>
      </c>
      <c r="T173" s="35">
        <f>GETPIVOTDATA("[Measures].[Average of loan_amount]",$K$153,"[bank_loan_data].[address_state]","[bank_loan_data].[address_state].&amp;[MA]")</f>
        <v>11489.312977099236</v>
      </c>
      <c r="U173" s="34">
        <f>GETPIVOTDATA("[Measures].[Average of int_rate]",$K$153,"[bank_loan_data].[address_state]","[bank_loan_data].[address_state].&amp;[MA]")</f>
        <v>0.1187147328244277</v>
      </c>
    </row>
    <row r="174" spans="2:21" x14ac:dyDescent="0.3">
      <c r="K174" s="3" t="s">
        <v>91</v>
      </c>
      <c r="L174" s="21">
        <v>0.1249157740993183</v>
      </c>
      <c r="M174" s="35">
        <v>11598.247322297955</v>
      </c>
      <c r="N174" s="2"/>
      <c r="O174" s="21">
        <v>6.3291139240506333E-2</v>
      </c>
      <c r="P174" s="21">
        <v>0.88483593502290925</v>
      </c>
      <c r="R174" t="str">
        <f t="shared" si="0"/>
        <v>MD</v>
      </c>
      <c r="S174" s="34">
        <f>GETPIVOTDATA("[Measures].[% Fraud Loans]",$K$153,"[bank_loan_data].[address_state]","[bank_loan_data].[address_state].&amp;[MD]")</f>
        <v>6.3291139240506333E-2</v>
      </c>
      <c r="T174" s="35">
        <f>GETPIVOTDATA("[Measures].[Average of loan_amount]",$K$153,"[bank_loan_data].[address_state]","[bank_loan_data].[address_state].&amp;[MD]")</f>
        <v>11598.247322297955</v>
      </c>
      <c r="U174" s="34">
        <f>GETPIVOTDATA("[Measures].[Average of int_rate]",$K$153,"[bank_loan_data].[address_state]","[bank_loan_data].[address_state].&amp;[MD]")</f>
        <v>0.1249157740993183</v>
      </c>
    </row>
    <row r="175" spans="2:21" x14ac:dyDescent="0.3">
      <c r="K175" s="3" t="s">
        <v>90</v>
      </c>
      <c r="L175" s="21">
        <v>0.10486666666666666</v>
      </c>
      <c r="M175" s="35">
        <v>3066.6666666666665</v>
      </c>
      <c r="N175" s="2"/>
      <c r="O175" s="21">
        <v>0.66666666666666663</v>
      </c>
      <c r="P175" s="21">
        <v>1.0040234349254318</v>
      </c>
      <c r="R175" t="str">
        <f t="shared" si="0"/>
        <v>ME</v>
      </c>
      <c r="S175" s="34">
        <f>GETPIVOTDATA("[Measures].[% Fraud Loans]",$K$153,"[bank_loan_data].[address_state]","[bank_loan_data].[address_state].&amp;[ME]")</f>
        <v>0.66666666666666663</v>
      </c>
      <c r="T175" s="35">
        <f>GETPIVOTDATA("[Measures].[Average of loan_amount]",$K$153,"[bank_loan_data].[address_state]","[bank_loan_data].[address_state].&amp;[ME]")</f>
        <v>3066.6666666666665</v>
      </c>
      <c r="U175" s="34">
        <f>GETPIVOTDATA("[Measures].[Average of int_rate]",$K$153,"[bank_loan_data].[address_state]","[bank_loan_data].[address_state].&amp;[ME]")</f>
        <v>0.10486666666666666</v>
      </c>
    </row>
    <row r="176" spans="2:21" x14ac:dyDescent="0.3">
      <c r="K176" s="3" t="s">
        <v>93</v>
      </c>
      <c r="L176" s="21">
        <v>0.12006613138686142</v>
      </c>
      <c r="M176" s="35">
        <v>11430.51094890511</v>
      </c>
      <c r="N176" s="2">
        <v>3.9416058394160583E-2</v>
      </c>
      <c r="O176" s="21">
        <v>5.5474452554744529E-2</v>
      </c>
      <c r="P176" s="21">
        <v>0.89391886784473429</v>
      </c>
      <c r="R176" t="str">
        <f t="shared" si="0"/>
        <v>MI</v>
      </c>
      <c r="S176" s="34">
        <f>GETPIVOTDATA("[Measures].[% Fraud Loans]",$K$153,"[bank_loan_data].[address_state]","[bank_loan_data].[address_state].&amp;[MI]")</f>
        <v>5.5474452554744529E-2</v>
      </c>
      <c r="T176" s="35">
        <f>GETPIVOTDATA("[Measures].[Average of loan_amount]",$K$153,"[bank_loan_data].[address_state]","[bank_loan_data].[address_state].&amp;[MI]")</f>
        <v>11430.51094890511</v>
      </c>
      <c r="U176" s="34">
        <f>GETPIVOTDATA("[Measures].[Average of int_rate]",$K$153,"[bank_loan_data].[address_state]","[bank_loan_data].[address_state].&amp;[MI]")</f>
        <v>0.12006613138686142</v>
      </c>
    </row>
    <row r="177" spans="3:21" x14ac:dyDescent="0.3">
      <c r="K177" s="3" t="s">
        <v>94</v>
      </c>
      <c r="L177" s="21">
        <v>0.11687635135135144</v>
      </c>
      <c r="M177" s="35">
        <v>10646.283783783783</v>
      </c>
      <c r="N177" s="2"/>
      <c r="O177" s="21">
        <v>5.9121621621621621E-2</v>
      </c>
      <c r="P177" s="21">
        <v>0.89415193182187247</v>
      </c>
      <c r="R177" t="str">
        <f t="shared" si="0"/>
        <v>MN</v>
      </c>
      <c r="S177" s="34">
        <f>GETPIVOTDATA("[Measures].[% Fraud Loans]",$K$153,"[bank_loan_data].[address_state]","[bank_loan_data].[address_state].&amp;[MN]")</f>
        <v>5.9121621621621621E-2</v>
      </c>
      <c r="T177" s="35">
        <f>GETPIVOTDATA("[Measures].[Average of loan_amount]",$K$153,"[bank_loan_data].[address_state]","[bank_loan_data].[address_state].&amp;[MN]")</f>
        <v>10646.283783783783</v>
      </c>
      <c r="U177" s="34">
        <f>GETPIVOTDATA("[Measures].[Average of int_rate]",$K$153,"[bank_loan_data].[address_state]","[bank_loan_data].[address_state].&amp;[MN]")</f>
        <v>0.11687635135135144</v>
      </c>
    </row>
    <row r="178" spans="3:21" x14ac:dyDescent="0.3">
      <c r="K178" s="3" t="s">
        <v>96</v>
      </c>
      <c r="L178" s="21">
        <v>0.1172357575757576</v>
      </c>
      <c r="M178" s="35">
        <v>10835.113636363636</v>
      </c>
      <c r="N178" s="2"/>
      <c r="O178" s="21">
        <v>5.909090909090909E-2</v>
      </c>
      <c r="P178" s="21">
        <v>0.88389475469859458</v>
      </c>
      <c r="R178" t="str">
        <f t="shared" si="0"/>
        <v>MO</v>
      </c>
      <c r="S178" s="34">
        <f>GETPIVOTDATA("[Measures].[% Fraud Loans]",$K$153,"[bank_loan_data].[address_state]","[bank_loan_data].[address_state].&amp;[MO]")</f>
        <v>5.909090909090909E-2</v>
      </c>
      <c r="T178" s="35">
        <f>GETPIVOTDATA("[Measures].[Average of loan_amount]",$K$153,"[bank_loan_data].[address_state]","[bank_loan_data].[address_state].&amp;[MO]")</f>
        <v>10835.113636363636</v>
      </c>
      <c r="U178" s="34">
        <f>GETPIVOTDATA("[Measures].[Average of int_rate]",$K$153,"[bank_loan_data].[address_state]","[bank_loan_data].[address_state].&amp;[MO]")</f>
        <v>0.1172357575757576</v>
      </c>
    </row>
    <row r="179" spans="3:21" x14ac:dyDescent="0.3">
      <c r="C179" s="1" t="s">
        <v>56</v>
      </c>
      <c r="D179" t="s">
        <v>55</v>
      </c>
      <c r="E179" t="s">
        <v>11</v>
      </c>
      <c r="G179" s="33" t="s">
        <v>130</v>
      </c>
      <c r="H179" s="24" t="s">
        <v>131</v>
      </c>
      <c r="I179" s="3" t="s">
        <v>65</v>
      </c>
      <c r="K179" s="3" t="s">
        <v>95</v>
      </c>
      <c r="L179" s="21">
        <v>0.1179</v>
      </c>
      <c r="M179" s="35">
        <v>7322.3684210526317</v>
      </c>
      <c r="N179" s="2"/>
      <c r="O179" s="21">
        <v>0.15789473684210525</v>
      </c>
      <c r="P179" s="21">
        <v>0.9147775358736121</v>
      </c>
      <c r="R179" t="str">
        <f t="shared" si="0"/>
        <v>MS</v>
      </c>
      <c r="S179" s="34">
        <f>GETPIVOTDATA("[Measures].[% Fraud Loans]",$K$153,"[bank_loan_data].[address_state]","[bank_loan_data].[address_state].&amp;[MS]")</f>
        <v>0.15789473684210525</v>
      </c>
      <c r="T179" s="35">
        <f>GETPIVOTDATA("[Measures].[Average of loan_amount]",$K$153,"[bank_loan_data].[address_state]","[bank_loan_data].[address_state].&amp;[MS]")</f>
        <v>7322.3684210526317</v>
      </c>
      <c r="U179" s="34">
        <f>GETPIVOTDATA("[Measures].[Average of int_rate]",$K$153,"[bank_loan_data].[address_state]","[bank_loan_data].[address_state].&amp;[MS]")</f>
        <v>0.1179</v>
      </c>
    </row>
    <row r="180" spans="3:21" x14ac:dyDescent="0.3">
      <c r="C180" s="3">
        <v>2.6</v>
      </c>
      <c r="D180" s="2">
        <v>0.20588235294117646</v>
      </c>
      <c r="E180" s="4">
        <v>68</v>
      </c>
      <c r="G180">
        <f>C180</f>
        <v>2.6</v>
      </c>
      <c r="H180" s="34">
        <f>GETPIVOTDATA("[Measures].[% Charged Off Loans]",$C$179,"[bank_loan_data].[unemployment_rate]","[bank_loan_data].[unemployment_rate].&amp;[2.6]")</f>
        <v>0.20588235294117646</v>
      </c>
      <c r="I180">
        <f>GETPIVOTDATA("[Measures].[Total Disbursed Loans]",$C$179,"[bank_loan_data].[unemployment_rate]","[bank_loan_data].[unemployment_rate].&amp;[2.6]")</f>
        <v>68</v>
      </c>
      <c r="K180" s="3" t="s">
        <v>97</v>
      </c>
      <c r="L180" s="21">
        <v>0.12076455696202534</v>
      </c>
      <c r="M180" s="35">
        <v>10500.316455696202</v>
      </c>
      <c r="N180" s="2"/>
      <c r="O180" s="21">
        <v>0.11392405063291139</v>
      </c>
      <c r="P180" s="21">
        <v>0.89309410793631561</v>
      </c>
      <c r="R180" t="str">
        <f t="shared" si="0"/>
        <v>MT</v>
      </c>
      <c r="S180" s="34">
        <f>GETPIVOTDATA("[Measures].[% Fraud Loans]",$K$153,"[bank_loan_data].[address_state]","[bank_loan_data].[address_state].&amp;[MT]")</f>
        <v>0.11392405063291139</v>
      </c>
      <c r="T180" s="35">
        <f>GETPIVOTDATA("[Measures].[Average of loan_amount]",$K$153,"[bank_loan_data].[address_state]","[bank_loan_data].[address_state].&amp;[MT]")</f>
        <v>10500.316455696202</v>
      </c>
      <c r="U180" s="34">
        <f>GETPIVOTDATA("[Measures].[Average of int_rate]",$K$153,"[bank_loan_data].[address_state]","[bank_loan_data].[address_state].&amp;[MT]")</f>
        <v>0.12076455696202534</v>
      </c>
    </row>
    <row r="181" spans="3:21" x14ac:dyDescent="0.3">
      <c r="C181" s="3">
        <v>2.8</v>
      </c>
      <c r="D181" s="2">
        <v>0.15476190476190477</v>
      </c>
      <c r="E181" s="4">
        <v>252</v>
      </c>
      <c r="G181">
        <f>C181</f>
        <v>2.8</v>
      </c>
      <c r="H181" s="34">
        <f>GETPIVOTDATA("[Measures].[% Charged Off Loans]",$C$179,"[bank_loan_data].[unemployment_rate]","[bank_loan_data].[unemployment_rate].&amp;[2.8]")</f>
        <v>0.15476190476190477</v>
      </c>
      <c r="I181">
        <f>GETPIVOTDATA("[Measures].[Total Disbursed Loans]",$C$179,"[bank_loan_data].[unemployment_rate]","[bank_loan_data].[unemployment_rate].&amp;[2.8]")</f>
        <v>252</v>
      </c>
      <c r="K181" s="3" t="s">
        <v>101</v>
      </c>
      <c r="L181" s="21">
        <v>0.12122068511198944</v>
      </c>
      <c r="M181" s="35">
        <v>11577.832674571806</v>
      </c>
      <c r="N181" s="2"/>
      <c r="O181" s="21">
        <v>7.2463768115942032E-2</v>
      </c>
      <c r="P181" s="21">
        <v>0.87958953896011061</v>
      </c>
      <c r="R181" t="str">
        <f t="shared" si="0"/>
        <v>NC</v>
      </c>
      <c r="S181" s="34">
        <f>GETPIVOTDATA("[Measures].[% Fraud Loans]",$K$153,"[bank_loan_data].[address_state]","[bank_loan_data].[address_state].&amp;[NC]")</f>
        <v>7.2463768115942032E-2</v>
      </c>
      <c r="T181" s="35">
        <f>GETPIVOTDATA("[Measures].[Average of loan_amount]",$K$153,"[bank_loan_data].[address_state]","[bank_loan_data].[address_state].&amp;[NC]")</f>
        <v>11577.832674571806</v>
      </c>
      <c r="U181" s="34">
        <f>GETPIVOTDATA("[Measures].[Average of int_rate]",$K$153,"[bank_loan_data].[address_state]","[bank_loan_data].[address_state].&amp;[NC]")</f>
        <v>0.12122068511198944</v>
      </c>
    </row>
    <row r="182" spans="3:21" x14ac:dyDescent="0.3">
      <c r="C182" s="3">
        <v>3.3</v>
      </c>
      <c r="D182" s="2">
        <v>0.1</v>
      </c>
      <c r="E182" s="4">
        <v>260</v>
      </c>
      <c r="G182">
        <f t="shared" ref="G182:G206" si="1">C182</f>
        <v>3.3</v>
      </c>
      <c r="H182" s="34">
        <f>GETPIVOTDATA("[Measures].[% Charged Off Loans]",$C$179,"[bank_loan_data].[unemployment_rate]","[bank_loan_data].[unemployment_rate].&amp;[3.3]")</f>
        <v>0.1</v>
      </c>
      <c r="I182">
        <f>GETPIVOTDATA("[Measures].[Total Disbursed Loans]",$C$179,"[bank_loan_data].[unemployment_rate]","[bank_loan_data].[unemployment_rate].&amp;[3.3]")</f>
        <v>260</v>
      </c>
      <c r="K182" s="3" t="s">
        <v>128</v>
      </c>
      <c r="L182" s="21">
        <v>0.11814</v>
      </c>
      <c r="M182" s="35">
        <v>6340</v>
      </c>
      <c r="N182" s="2"/>
      <c r="O182" s="21"/>
      <c r="P182" s="21">
        <v>0.75464788801066573</v>
      </c>
      <c r="R182" t="str">
        <f t="shared" si="0"/>
        <v>NE</v>
      </c>
      <c r="S182" s="34">
        <f>GETPIVOTDATA("[Measures].[% Fraud Loans]",$K$153,"[bank_loan_data].[address_state]","[bank_loan_data].[address_state].&amp;[NE]")</f>
        <v>0</v>
      </c>
      <c r="T182" s="35">
        <f>GETPIVOTDATA("[Measures].[Average of loan_amount]",$K$153,"[bank_loan_data].[address_state]","[bank_loan_data].[address_state].&amp;[NE]")</f>
        <v>6340</v>
      </c>
      <c r="U182" s="34">
        <f>GETPIVOTDATA("[Measures].[Average of int_rate]",$K$153,"[bank_loan_data].[address_state]","[bank_loan_data].[address_state].&amp;[NE]")</f>
        <v>0.11814</v>
      </c>
    </row>
    <row r="183" spans="3:21" x14ac:dyDescent="0.3">
      <c r="C183" s="3">
        <v>3.4</v>
      </c>
      <c r="D183" s="2">
        <v>0.12202380952380952</v>
      </c>
      <c r="E183" s="4">
        <v>672</v>
      </c>
      <c r="G183">
        <f t="shared" si="1"/>
        <v>3.4</v>
      </c>
      <c r="H183" s="34">
        <f>GETPIVOTDATA("[Measures].[% Charged Off Loans]",$C$179,"[bank_loan_data].[unemployment_rate]","[bank_loan_data].[unemployment_rate].&amp;[3.4]")</f>
        <v>0.12202380952380952</v>
      </c>
      <c r="I183">
        <f>GETPIVOTDATA("[Measures].[Total Disbursed Loans]",$C$179,"[bank_loan_data].[unemployment_rate]","[bank_loan_data].[unemployment_rate].&amp;[3.4]")</f>
        <v>672</v>
      </c>
      <c r="K183" s="3" t="s">
        <v>99</v>
      </c>
      <c r="L183" s="21">
        <v>0.11789130434782603</v>
      </c>
      <c r="M183" s="35">
        <v>11912.422360248447</v>
      </c>
      <c r="N183" s="2"/>
      <c r="O183" s="21">
        <v>6.2111801242236024E-2</v>
      </c>
      <c r="P183" s="21">
        <v>0.90573063050117131</v>
      </c>
      <c r="R183" t="str">
        <f t="shared" si="0"/>
        <v>NH</v>
      </c>
      <c r="S183" s="34">
        <f>GETPIVOTDATA("[Measures].[% Fraud Loans]",$K$153,"[bank_loan_data].[address_state]","[bank_loan_data].[address_state].&amp;[NH]")</f>
        <v>6.2111801242236024E-2</v>
      </c>
      <c r="T183" s="35">
        <f>GETPIVOTDATA("[Measures].[Average of loan_amount]",$K$153,"[bank_loan_data].[address_state]","[bank_loan_data].[address_state].&amp;[NH]")</f>
        <v>11912.422360248447</v>
      </c>
      <c r="U183" s="34">
        <f>GETPIVOTDATA("[Measures].[Average of int_rate]",$K$153,"[bank_loan_data].[address_state]","[bank_loan_data].[address_state].&amp;[NH]")</f>
        <v>0.11789130434782603</v>
      </c>
    </row>
    <row r="184" spans="3:21" x14ac:dyDescent="0.3">
      <c r="C184" s="3">
        <v>3.6</v>
      </c>
      <c r="D184" s="2">
        <v>0.11666666666666667</v>
      </c>
      <c r="E184" s="4">
        <v>60</v>
      </c>
      <c r="G184">
        <f t="shared" si="1"/>
        <v>3.6</v>
      </c>
      <c r="H184" s="34">
        <f>GETPIVOTDATA("[Measures].[% Charged Off Loans]",$C$179,"[bank_loan_data].[unemployment_rate]","[bank_loan_data].[unemployment_rate].&amp;[3.6]")</f>
        <v>0.11666666666666667</v>
      </c>
      <c r="I184">
        <f>GETPIVOTDATA("[Measures].[Total Disbursed Loans]",$C$179,"[bank_loan_data].[unemployment_rate]","[bank_loan_data].[unemployment_rate].&amp;[3.6]")</f>
        <v>60</v>
      </c>
      <c r="K184" s="3" t="s">
        <v>38</v>
      </c>
      <c r="L184" s="21">
        <v>0.12235076838638909</v>
      </c>
      <c r="M184" s="35">
        <v>11886.649286498354</v>
      </c>
      <c r="N184" s="2">
        <v>4.9396267837541162E-2</v>
      </c>
      <c r="O184" s="21">
        <v>7.5740944017563122E-2</v>
      </c>
      <c r="P184" s="21">
        <v>0.88991865974640294</v>
      </c>
      <c r="R184" t="str">
        <f t="shared" si="0"/>
        <v>NJ</v>
      </c>
      <c r="S184" s="34">
        <f>GETPIVOTDATA("[Measures].[% Fraud Loans]",$K$153,"[bank_loan_data].[address_state]","[bank_loan_data].[address_state].&amp;[NJ]")</f>
        <v>7.5740944017563122E-2</v>
      </c>
      <c r="T184" s="35">
        <f>GETPIVOTDATA("[Measures].[Average of loan_amount]",$K$153,"[bank_loan_data].[address_state]","[bank_loan_data].[address_state].&amp;[NJ]")</f>
        <v>11886.649286498354</v>
      </c>
      <c r="U184" s="34">
        <f>GETPIVOTDATA("[Measures].[Average of int_rate]",$K$153,"[bank_loan_data].[address_state]","[bank_loan_data].[address_state].&amp;[NJ]")</f>
        <v>0.12235076838638909</v>
      </c>
    </row>
    <row r="185" spans="3:21" x14ac:dyDescent="0.3">
      <c r="C185" s="3">
        <v>3.7</v>
      </c>
      <c r="D185" s="2">
        <v>0.13175675675675674</v>
      </c>
      <c r="E185" s="4">
        <v>592</v>
      </c>
      <c r="G185">
        <f t="shared" si="1"/>
        <v>3.7</v>
      </c>
      <c r="H185" s="34">
        <f>GETPIVOTDATA("[Measures].[% Charged Off Loans]",$C$179,"[bank_loan_data].[unemployment_rate]","[bank_loan_data].[unemployment_rate].&amp;[3.7]")</f>
        <v>0.13175675675675674</v>
      </c>
      <c r="I185">
        <f>GETPIVOTDATA("[Measures].[Total Disbursed Loans]",$C$179,"[bank_loan_data].[unemployment_rate]","[bank_loan_data].[unemployment_rate].&amp;[3.7]")</f>
        <v>592</v>
      </c>
      <c r="K185" s="3" t="s">
        <v>100</v>
      </c>
      <c r="L185" s="21">
        <v>0.11661311475409847</v>
      </c>
      <c r="M185" s="35">
        <v>10474.180327868853</v>
      </c>
      <c r="N185" s="2">
        <v>4.9180327868852458E-2</v>
      </c>
      <c r="O185" s="21">
        <v>9.8360655737704916E-2</v>
      </c>
      <c r="P185" s="21">
        <v>0.90044833218756426</v>
      </c>
      <c r="R185" t="str">
        <f t="shared" si="0"/>
        <v>NM</v>
      </c>
      <c r="S185" s="34">
        <f>GETPIVOTDATA("[Measures].[% Fraud Loans]",$K$153,"[bank_loan_data].[address_state]","[bank_loan_data].[address_state].&amp;[NM]")</f>
        <v>9.8360655737704916E-2</v>
      </c>
      <c r="T185" s="35">
        <f>GETPIVOTDATA("[Measures].[Average of loan_amount]",$K$153,"[bank_loan_data].[address_state]","[bank_loan_data].[address_state].&amp;[NM]")</f>
        <v>10474.180327868853</v>
      </c>
      <c r="U185" s="34">
        <f>GETPIVOTDATA("[Measures].[Average of int_rate]",$K$153,"[bank_loan_data].[address_state]","[bank_loan_data].[address_state].&amp;[NM]")</f>
        <v>0.11661311475409847</v>
      </c>
    </row>
    <row r="186" spans="3:21" x14ac:dyDescent="0.3">
      <c r="C186" s="3">
        <v>3.8</v>
      </c>
      <c r="D186" s="2"/>
      <c r="E186" s="4">
        <v>5</v>
      </c>
      <c r="G186">
        <f t="shared" si="1"/>
        <v>3.8</v>
      </c>
      <c r="H186" s="34">
        <f>GETPIVOTDATA("[Measures].[% Charged Off Loans]",$C$179,"[bank_loan_data].[unemployment_rate]","[bank_loan_data].[unemployment_rate].&amp;[3.8]")</f>
        <v>0</v>
      </c>
      <c r="I186">
        <f>GETPIVOTDATA("[Measures].[Total Disbursed Loans]",$C$179,"[bank_loan_data].[unemployment_rate]","[bank_loan_data].[unemployment_rate].&amp;[3.8]")</f>
        <v>5</v>
      </c>
      <c r="K186" s="3" t="s">
        <v>98</v>
      </c>
      <c r="L186" s="21">
        <v>0.12540373443983419</v>
      </c>
      <c r="M186" s="35">
        <v>11011.151452282158</v>
      </c>
      <c r="N186" s="2">
        <v>5.8091286307053944E-2</v>
      </c>
      <c r="O186" s="21">
        <v>7.8838174273858919E-2</v>
      </c>
      <c r="P186" s="21">
        <v>0.84438751153953717</v>
      </c>
      <c r="R186" t="str">
        <f t="shared" si="0"/>
        <v>NV</v>
      </c>
      <c r="S186" s="34">
        <f>GETPIVOTDATA("[Measures].[% Fraud Loans]",$K$153,"[bank_loan_data].[address_state]","[bank_loan_data].[address_state].&amp;[NV]")</f>
        <v>7.8838174273858919E-2</v>
      </c>
      <c r="T186" s="35">
        <f>GETPIVOTDATA("[Measures].[Average of loan_amount]",$K$153,"[bank_loan_data].[address_state]","[bank_loan_data].[address_state].&amp;[NV]")</f>
        <v>11011.151452282158</v>
      </c>
      <c r="U186" s="34">
        <f>GETPIVOTDATA("[Measures].[Average of int_rate]",$K$153,"[bank_loan_data].[address_state]","[bank_loan_data].[address_state].&amp;[NV]")</f>
        <v>0.12540373443983419</v>
      </c>
    </row>
    <row r="187" spans="3:21" x14ac:dyDescent="0.3">
      <c r="C187" s="3">
        <v>3.9</v>
      </c>
      <c r="D187" s="2">
        <v>0.13702384214853386</v>
      </c>
      <c r="E187" s="4">
        <v>3649</v>
      </c>
      <c r="G187">
        <f t="shared" si="1"/>
        <v>3.9</v>
      </c>
      <c r="H187" s="34">
        <f>GETPIVOTDATA("[Measures].[% Charged Off Loans]",$C$179,"[bank_loan_data].[unemployment_rate]","[bank_loan_data].[unemployment_rate].&amp;[3.9]")</f>
        <v>0.13702384214853386</v>
      </c>
      <c r="I187">
        <f>GETPIVOTDATA("[Measures].[Total Disbursed Loans]",$C$179,"[bank_loan_data].[unemployment_rate]","[bank_loan_data].[unemployment_rate].&amp;[3.9]")</f>
        <v>3649</v>
      </c>
      <c r="K187" s="3" t="s">
        <v>39</v>
      </c>
      <c r="L187" s="21">
        <v>0.12114347473655761</v>
      </c>
      <c r="M187" s="35">
        <v>11369.10294514996</v>
      </c>
      <c r="N187" s="2">
        <v>4.3231559038097812E-2</v>
      </c>
      <c r="O187" s="21">
        <v>9.3218049175898404E-2</v>
      </c>
      <c r="P187" s="21">
        <v>0.90120414501635704</v>
      </c>
      <c r="R187" t="str">
        <f t="shared" si="0"/>
        <v>NY</v>
      </c>
      <c r="S187" s="34">
        <f>GETPIVOTDATA("[Measures].[% Fraud Loans]",$K$153,"[bank_loan_data].[address_state]","[bank_loan_data].[address_state].&amp;[NY]")</f>
        <v>9.3218049175898404E-2</v>
      </c>
      <c r="T187" s="35">
        <f>GETPIVOTDATA("[Measures].[Average of loan_amount]",$K$153,"[bank_loan_data].[address_state]","[bank_loan_data].[address_state].&amp;[NY]")</f>
        <v>11369.10294514996</v>
      </c>
      <c r="U187" s="34">
        <f>GETPIVOTDATA("[Measures].[Average of int_rate]",$K$153,"[bank_loan_data].[address_state]","[bank_loan_data].[address_state].&amp;[NY]")</f>
        <v>0.12114347473655761</v>
      </c>
    </row>
    <row r="188" spans="3:21" x14ac:dyDescent="0.3">
      <c r="C188" s="3">
        <v>4</v>
      </c>
      <c r="D188" s="2">
        <v>0.12476370510396975</v>
      </c>
      <c r="E188" s="4">
        <v>529</v>
      </c>
      <c r="G188">
        <f t="shared" si="1"/>
        <v>4</v>
      </c>
      <c r="H188" s="34">
        <f>GETPIVOTDATA("[Measures].[% Charged Off Loans]",$C$179,"[bank_loan_data].[unemployment_rate]","[bank_loan_data].[unemployment_rate].&amp;[4.]")</f>
        <v>0.12476370510396975</v>
      </c>
      <c r="I188">
        <f>GETPIVOTDATA("[Measures].[Total Disbursed Loans]",$C$179,"[bank_loan_data].[unemployment_rate]","[bank_loan_data].[unemployment_rate].&amp;[4.]")</f>
        <v>529</v>
      </c>
      <c r="K188" s="3" t="s">
        <v>102</v>
      </c>
      <c r="L188" s="21">
        <v>0.1202449494949499</v>
      </c>
      <c r="M188" s="35">
        <v>10935.500841750842</v>
      </c>
      <c r="N188" s="2"/>
      <c r="O188" s="21">
        <v>5.808080808080808E-2</v>
      </c>
      <c r="P188" s="21">
        <v>0.90054916212041702</v>
      </c>
      <c r="R188" t="str">
        <f t="shared" si="0"/>
        <v>OH</v>
      </c>
      <c r="S188" s="34">
        <f>GETPIVOTDATA("[Measures].[% Fraud Loans]",$K$153,"[bank_loan_data].[address_state]","[bank_loan_data].[address_state].&amp;[OH]")</f>
        <v>5.808080808080808E-2</v>
      </c>
      <c r="T188" s="35">
        <f>GETPIVOTDATA("[Measures].[Average of loan_amount]",$K$153,"[bank_loan_data].[address_state]","[bank_loan_data].[address_state].&amp;[OH]")</f>
        <v>10935.500841750842</v>
      </c>
      <c r="U188" s="34">
        <f>GETPIVOTDATA("[Measures].[Average of int_rate]",$K$153,"[bank_loan_data].[address_state]","[bank_loan_data].[address_state].&amp;[OH]")</f>
        <v>0.1202449494949499</v>
      </c>
    </row>
    <row r="189" spans="3:21" x14ac:dyDescent="0.3">
      <c r="C189" s="3">
        <v>4.2</v>
      </c>
      <c r="D189" s="2">
        <v>0.15757575757575756</v>
      </c>
      <c r="E189" s="4">
        <v>660</v>
      </c>
      <c r="G189">
        <f t="shared" si="1"/>
        <v>4.2</v>
      </c>
      <c r="H189" s="34">
        <f>GETPIVOTDATA("[Measures].[% Charged Off Loans]",$C$179,"[bank_loan_data].[unemployment_rate]","[bank_loan_data].[unemployment_rate].&amp;[4.2]")</f>
        <v>0.15757575757575756</v>
      </c>
      <c r="I189">
        <f>GETPIVOTDATA("[Measures].[Total Disbursed Loans]",$C$179,"[bank_loan_data].[unemployment_rate]","[bank_loan_data].[unemployment_rate].&amp;[4.2]")</f>
        <v>660</v>
      </c>
      <c r="K189" s="3" t="s">
        <v>103</v>
      </c>
      <c r="L189" s="21">
        <v>0.11895324232081908</v>
      </c>
      <c r="M189" s="35">
        <v>11487.116040955631</v>
      </c>
      <c r="N189" s="2"/>
      <c r="O189" s="21">
        <v>4.778156996587031E-2</v>
      </c>
      <c r="P189" s="21">
        <v>0.89312658689626701</v>
      </c>
      <c r="R189" t="str">
        <f t="shared" si="0"/>
        <v>OK</v>
      </c>
      <c r="S189" s="34">
        <f>GETPIVOTDATA("[Measures].[% Fraud Loans]",$K$153,"[bank_loan_data].[address_state]","[bank_loan_data].[address_state].&amp;[OK]")</f>
        <v>4.778156996587031E-2</v>
      </c>
      <c r="T189" s="35">
        <f>GETPIVOTDATA("[Measures].[Average of loan_amount]",$K$153,"[bank_loan_data].[address_state]","[bank_loan_data].[address_state].&amp;[OK]")</f>
        <v>11487.116040955631</v>
      </c>
      <c r="U189" s="34">
        <f>GETPIVOTDATA("[Measures].[Average of int_rate]",$K$153,"[bank_loan_data].[address_state]","[bank_loan_data].[address_state].&amp;[OK]")</f>
        <v>0.11895324232081908</v>
      </c>
    </row>
    <row r="190" spans="3:21" x14ac:dyDescent="0.3">
      <c r="C190" s="3">
        <v>4.5</v>
      </c>
      <c r="D190" s="2">
        <v>0.11778846153846154</v>
      </c>
      <c r="E190" s="4">
        <v>416</v>
      </c>
      <c r="G190">
        <f t="shared" si="1"/>
        <v>4.5</v>
      </c>
      <c r="H190" s="34">
        <f>GETPIVOTDATA("[Measures].[% Charged Off Loans]",$C$179,"[bank_loan_data].[unemployment_rate]","[bank_loan_data].[unemployment_rate].&amp;[4.5]")</f>
        <v>0.11778846153846154</v>
      </c>
      <c r="I190">
        <f>GETPIVOTDATA("[Measures].[Total Disbursed Loans]",$C$179,"[bank_loan_data].[unemployment_rate]","[bank_loan_data].[unemployment_rate].&amp;[4.5]")</f>
        <v>416</v>
      </c>
      <c r="K190" s="3" t="s">
        <v>104</v>
      </c>
      <c r="L190" s="21">
        <v>0.11997041284403659</v>
      </c>
      <c r="M190" s="35">
        <v>10826.032110091743</v>
      </c>
      <c r="N190" s="2"/>
      <c r="O190" s="21">
        <v>8.9449541284403675E-2</v>
      </c>
      <c r="P190" s="21">
        <v>0.87981108011347497</v>
      </c>
      <c r="R190" t="str">
        <f t="shared" si="0"/>
        <v>OR</v>
      </c>
      <c r="S190" s="34">
        <f>GETPIVOTDATA("[Measures].[% Fraud Loans]",$K$153,"[bank_loan_data].[address_state]","[bank_loan_data].[address_state].&amp;[OR]")</f>
        <v>8.9449541284403675E-2</v>
      </c>
      <c r="T190" s="35">
        <f>GETPIVOTDATA("[Measures].[Average of loan_amount]",$K$153,"[bank_loan_data].[address_state]","[bank_loan_data].[address_state].&amp;[OR]")</f>
        <v>10826.032110091743</v>
      </c>
      <c r="U190" s="34">
        <f>GETPIVOTDATA("[Measures].[Average of int_rate]",$K$153,"[bank_loan_data].[address_state]","[bank_loan_data].[address_state].&amp;[OR]")</f>
        <v>0.11997041284403659</v>
      </c>
    </row>
    <row r="191" spans="3:21" x14ac:dyDescent="0.3">
      <c r="C191" s="3">
        <v>4.7</v>
      </c>
      <c r="D191" s="2">
        <v>0.17255043227665706</v>
      </c>
      <c r="E191" s="4">
        <v>2776</v>
      </c>
      <c r="G191">
        <f t="shared" si="1"/>
        <v>4.7</v>
      </c>
      <c r="H191" s="34">
        <f>GETPIVOTDATA("[Measures].[% Charged Off Loans]",$C$179,"[bank_loan_data].[unemployment_rate]","[bank_loan_data].[unemployment_rate].&amp;[4.7]")</f>
        <v>0.17255043227665706</v>
      </c>
      <c r="I191">
        <f>GETPIVOTDATA("[Measures].[Total Disbursed Loans]",$C$179,"[bank_loan_data].[unemployment_rate]","[bank_loan_data].[unemployment_rate].&amp;[4.7]")</f>
        <v>2776</v>
      </c>
      <c r="K191" s="3" t="s">
        <v>105</v>
      </c>
      <c r="L191" s="21">
        <v>0.11690607287449427</v>
      </c>
      <c r="M191" s="35">
        <v>10679.166666666666</v>
      </c>
      <c r="N191" s="2">
        <v>4.9932523616734142E-2</v>
      </c>
      <c r="O191" s="21">
        <v>5.9379217273954114E-2</v>
      </c>
      <c r="P191" s="21">
        <v>0.90532583991421722</v>
      </c>
      <c r="R191" t="str">
        <f t="shared" si="0"/>
        <v>PA</v>
      </c>
      <c r="S191" s="34">
        <f>GETPIVOTDATA("[Measures].[% Fraud Loans]",$K$153,"[bank_loan_data].[address_state]","[bank_loan_data].[address_state].&amp;[PA]")</f>
        <v>5.9379217273954114E-2</v>
      </c>
      <c r="T191" s="35">
        <f>GETPIVOTDATA("[Measures].[Average of loan_amount]",$K$153,"[bank_loan_data].[address_state]","[bank_loan_data].[address_state].&amp;[PA]")</f>
        <v>10679.166666666666</v>
      </c>
      <c r="U191" s="34">
        <f>GETPIVOTDATA("[Measures].[Average of int_rate]",$K$153,"[bank_loan_data].[address_state]","[bank_loan_data].[address_state].&amp;[PA]")</f>
        <v>0.11690607287449427</v>
      </c>
    </row>
    <row r="192" spans="3:21" x14ac:dyDescent="0.3">
      <c r="C192" s="3">
        <v>4.9000000000000004</v>
      </c>
      <c r="D192" s="2">
        <v>0.14229249011857709</v>
      </c>
      <c r="E192" s="4">
        <v>759</v>
      </c>
      <c r="G192">
        <f t="shared" si="1"/>
        <v>4.9000000000000004</v>
      </c>
      <c r="H192" s="34">
        <f>GETPIVOTDATA("[Measures].[% Charged Off Loans]",$C$179,"[bank_loan_data].[unemployment_rate]","[bank_loan_data].[unemployment_rate].&amp;[4.9]")</f>
        <v>0.14229249011857709</v>
      </c>
      <c r="I192">
        <f>GETPIVOTDATA("[Measures].[Total Disbursed Loans]",$C$179,"[bank_loan_data].[unemployment_rate]","[bank_loan_data].[unemployment_rate].&amp;[4.9]")</f>
        <v>759</v>
      </c>
      <c r="K192" s="3" t="s">
        <v>106</v>
      </c>
      <c r="L192" s="21">
        <v>0.11865153061224495</v>
      </c>
      <c r="M192" s="35">
        <v>9607.2704081632655</v>
      </c>
      <c r="N192" s="2"/>
      <c r="O192" s="21">
        <v>8.1632653061224483E-2</v>
      </c>
      <c r="P192" s="21">
        <v>0.90085732818545916</v>
      </c>
      <c r="R192" t="str">
        <f t="shared" si="0"/>
        <v>RI</v>
      </c>
      <c r="S192" s="34">
        <f>GETPIVOTDATA("[Measures].[% Fraud Loans]",$K$153,"[bank_loan_data].[address_state]","[bank_loan_data].[address_state].&amp;[RI]")</f>
        <v>8.1632653061224483E-2</v>
      </c>
      <c r="T192" s="35">
        <f>GETPIVOTDATA("[Measures].[Average of loan_amount]",$K$153,"[bank_loan_data].[address_state]","[bank_loan_data].[address_state].&amp;[RI]")</f>
        <v>9607.2704081632655</v>
      </c>
      <c r="U192" s="34">
        <f>GETPIVOTDATA("[Measures].[Average of int_rate]",$K$153,"[bank_loan_data].[address_state]","[bank_loan_data].[address_state].&amp;[RI]")</f>
        <v>0.11865153061224495</v>
      </c>
    </row>
    <row r="193" spans="3:21" x14ac:dyDescent="0.3">
      <c r="C193" s="3">
        <v>5.0999999999999996</v>
      </c>
      <c r="D193" s="2">
        <v>0.12659963436928701</v>
      </c>
      <c r="E193" s="4">
        <v>2188</v>
      </c>
      <c r="G193">
        <f t="shared" si="1"/>
        <v>5.0999999999999996</v>
      </c>
      <c r="H193" s="34">
        <f>GETPIVOTDATA("[Measures].[% Charged Off Loans]",$C$179,"[bank_loan_data].[unemployment_rate]","[bank_loan_data].[unemployment_rate].&amp;[5.1]")</f>
        <v>0.12659963436928701</v>
      </c>
      <c r="I193">
        <f>GETPIVOTDATA("[Measures].[Total Disbursed Loans]",$C$179,"[bank_loan_data].[unemployment_rate]","[bank_loan_data].[unemployment_rate].&amp;[5.1]")</f>
        <v>2188</v>
      </c>
      <c r="K193" s="3" t="s">
        <v>107</v>
      </c>
      <c r="L193" s="21">
        <v>0.11834827586206896</v>
      </c>
      <c r="M193" s="35">
        <v>10949.299568965518</v>
      </c>
      <c r="N193" s="2"/>
      <c r="O193" s="21">
        <v>6.8965517241379309E-2</v>
      </c>
      <c r="P193" s="21">
        <v>0.88700357726768697</v>
      </c>
      <c r="R193" t="str">
        <f t="shared" si="0"/>
        <v>SC</v>
      </c>
      <c r="S193" s="34">
        <f>GETPIVOTDATA("[Measures].[% Fraud Loans]",$K$153,"[bank_loan_data].[address_state]","[bank_loan_data].[address_state].&amp;[SC]")</f>
        <v>6.8965517241379309E-2</v>
      </c>
      <c r="T193" s="35">
        <f>GETPIVOTDATA("[Measures].[Average of loan_amount]",$K$153,"[bank_loan_data].[address_state]","[bank_loan_data].[address_state].&amp;[SC]")</f>
        <v>10949.299568965518</v>
      </c>
      <c r="U193" s="34">
        <f>GETPIVOTDATA("[Measures].[Average of int_rate]",$K$153,"[bank_loan_data].[address_state]","[bank_loan_data].[address_state].&amp;[SC]")</f>
        <v>0.11834827586206896</v>
      </c>
    </row>
    <row r="194" spans="3:21" x14ac:dyDescent="0.3">
      <c r="C194" s="3">
        <v>5.2</v>
      </c>
      <c r="D194" s="2">
        <v>0.15035273368606702</v>
      </c>
      <c r="E194" s="4">
        <v>2268</v>
      </c>
      <c r="G194">
        <f t="shared" si="1"/>
        <v>5.2</v>
      </c>
      <c r="H194" s="34">
        <f>GETPIVOTDATA("[Measures].[% Charged Off Loans]",$C$179,"[bank_loan_data].[unemployment_rate]","[bank_loan_data].[unemployment_rate].&amp;[5.2]")</f>
        <v>0.15035273368606702</v>
      </c>
      <c r="I194">
        <f>GETPIVOTDATA("[Measures].[Total Disbursed Loans]",$C$179,"[bank_loan_data].[unemployment_rate]","[bank_loan_data].[unemployment_rate].&amp;[5.2]")</f>
        <v>2268</v>
      </c>
      <c r="K194" s="3" t="s">
        <v>108</v>
      </c>
      <c r="L194" s="21">
        <v>0.11431428571428569</v>
      </c>
      <c r="M194" s="35">
        <v>9621.4285714285706</v>
      </c>
      <c r="N194" s="2"/>
      <c r="O194" s="21">
        <v>0.1111111111111111</v>
      </c>
      <c r="P194" s="21">
        <v>0.89823908452799173</v>
      </c>
      <c r="R194" t="str">
        <f t="shared" si="0"/>
        <v>SD</v>
      </c>
      <c r="S194" s="34">
        <f>GETPIVOTDATA("[Measures].[% Fraud Loans]",$K$153,"[bank_loan_data].[address_state]","[bank_loan_data].[address_state].&amp;[SD]")</f>
        <v>0.1111111111111111</v>
      </c>
      <c r="T194" s="35">
        <f>GETPIVOTDATA("[Measures].[Average of loan_amount]",$K$153,"[bank_loan_data].[address_state]","[bank_loan_data].[address_state].&amp;[SD]")</f>
        <v>9621.4285714285706</v>
      </c>
      <c r="U194" s="34">
        <f>GETPIVOTDATA("[Measures].[Average of int_rate]",$K$153,"[bank_loan_data].[address_state]","[bank_loan_data].[address_state].&amp;[SD]")</f>
        <v>0.11431428571428569</v>
      </c>
    </row>
    <row r="195" spans="3:21" x14ac:dyDescent="0.3">
      <c r="C195" s="3">
        <v>5.4</v>
      </c>
      <c r="D195" s="2">
        <v>0.1143717080511663</v>
      </c>
      <c r="E195" s="4">
        <v>1329</v>
      </c>
      <c r="G195">
        <f t="shared" si="1"/>
        <v>5.4</v>
      </c>
      <c r="H195" s="34">
        <f>GETPIVOTDATA("[Measures].[% Charged Off Loans]",$C$179,"[bank_loan_data].[unemployment_rate]","[bank_loan_data].[unemployment_rate].&amp;[5.4]")</f>
        <v>0.1143717080511663</v>
      </c>
      <c r="I195">
        <f>GETPIVOTDATA("[Measures].[Total Disbursed Loans]",$C$179,"[bank_loan_data].[unemployment_rate]","[bank_loan_data].[unemployment_rate].&amp;[5.4]")</f>
        <v>1329</v>
      </c>
      <c r="K195" s="3" t="s">
        <v>109</v>
      </c>
      <c r="L195" s="21">
        <v>0.10561176470588236</v>
      </c>
      <c r="M195" s="35">
        <v>9539.7058823529405</v>
      </c>
      <c r="N195" s="2"/>
      <c r="O195" s="21">
        <v>0.11764705882352941</v>
      </c>
      <c r="P195" s="21">
        <v>0.93840129295494257</v>
      </c>
      <c r="R195" t="str">
        <f t="shared" si="0"/>
        <v>TN</v>
      </c>
      <c r="S195" s="34">
        <f>GETPIVOTDATA("[Measures].[% Fraud Loans]",$K$153,"[bank_loan_data].[address_state]","[bank_loan_data].[address_state].&amp;[TN]")</f>
        <v>0.11764705882352941</v>
      </c>
      <c r="T195" s="35">
        <f>GETPIVOTDATA("[Measures].[Average of loan_amount]",$K$153,"[bank_loan_data].[address_state]","[bank_loan_data].[address_state].&amp;[TN]")</f>
        <v>9539.7058823529405</v>
      </c>
      <c r="U195" s="34">
        <f>GETPIVOTDATA("[Measures].[Average of int_rate]",$K$153,"[bank_loan_data].[address_state]","[bank_loan_data].[address_state].&amp;[TN]")</f>
        <v>0.10561176470588236</v>
      </c>
    </row>
    <row r="196" spans="3:21" x14ac:dyDescent="0.3">
      <c r="C196" s="3">
        <v>5.5</v>
      </c>
      <c r="D196" s="2">
        <v>0.11802973977695168</v>
      </c>
      <c r="E196" s="4">
        <v>1076</v>
      </c>
      <c r="G196">
        <f t="shared" si="1"/>
        <v>5.5</v>
      </c>
      <c r="H196" s="34">
        <f>GETPIVOTDATA("[Measures].[% Charged Off Loans]",$C$179,"[bank_loan_data].[unemployment_rate]","[bank_loan_data].[unemployment_rate].&amp;[5.5]")</f>
        <v>0.11802973977695168</v>
      </c>
      <c r="I196">
        <f>GETPIVOTDATA("[Measures].[Total Disbursed Loans]",$C$179,"[bank_loan_data].[unemployment_rate]","[bank_loan_data].[unemployment_rate].&amp;[5.5]")</f>
        <v>1076</v>
      </c>
      <c r="K196" s="3" t="s">
        <v>40</v>
      </c>
      <c r="L196" s="21">
        <v>0.12047030780780814</v>
      </c>
      <c r="M196" s="35">
        <v>11725.46921921922</v>
      </c>
      <c r="N196" s="2">
        <v>5.9309309309309312E-2</v>
      </c>
      <c r="O196" s="21">
        <v>6.6441441441441443E-2</v>
      </c>
      <c r="P196" s="21">
        <v>0.9067397821898755</v>
      </c>
      <c r="R196" t="str">
        <f t="shared" si="0"/>
        <v>TX</v>
      </c>
      <c r="S196" s="34">
        <f>GETPIVOTDATA("[Measures].[% Fraud Loans]",$K$153,"[bank_loan_data].[address_state]","[bank_loan_data].[address_state].&amp;[TX]")</f>
        <v>6.6441441441441443E-2</v>
      </c>
      <c r="T196" s="35">
        <f>GETPIVOTDATA("[Measures].[Average of loan_amount]",$K$153,"[bank_loan_data].[address_state]","[bank_loan_data].[address_state].&amp;[TX]")</f>
        <v>11725.46921921922</v>
      </c>
      <c r="U196" s="34">
        <f>GETPIVOTDATA("[Measures].[Average of int_rate]",$K$153,"[bank_loan_data].[address_state]","[bank_loan_data].[address_state].&amp;[TX]")</f>
        <v>0.12047030780780814</v>
      </c>
    </row>
    <row r="197" spans="3:21" x14ac:dyDescent="0.3">
      <c r="C197" s="3">
        <v>5.6</v>
      </c>
      <c r="D197" s="2">
        <v>0.11423948220064725</v>
      </c>
      <c r="E197" s="4">
        <v>3090</v>
      </c>
      <c r="G197">
        <f t="shared" si="1"/>
        <v>5.6</v>
      </c>
      <c r="H197" s="34">
        <f>GETPIVOTDATA("[Measures].[% Charged Off Loans]",$C$179,"[bank_loan_data].[unemployment_rate]","[bank_loan_data].[unemployment_rate].&amp;[5.6]")</f>
        <v>0.11423948220064725</v>
      </c>
      <c r="I197">
        <f>GETPIVOTDATA("[Measures].[Total Disbursed Loans]",$C$179,"[bank_loan_data].[unemployment_rate]","[bank_loan_data].[unemployment_rate].&amp;[5.6]")</f>
        <v>3090</v>
      </c>
      <c r="K197" s="3" t="s">
        <v>110</v>
      </c>
      <c r="L197" s="21">
        <v>0.1197571428571428</v>
      </c>
      <c r="M197" s="35">
        <v>11306.448412698413</v>
      </c>
      <c r="N197" s="2"/>
      <c r="O197" s="21">
        <v>7.5396825396825393E-2</v>
      </c>
      <c r="P197" s="21">
        <v>0.86349078561458659</v>
      </c>
      <c r="R197" t="str">
        <f t="shared" si="0"/>
        <v>UT</v>
      </c>
      <c r="S197" s="34">
        <f>GETPIVOTDATA("[Measures].[% Fraud Loans]",$K$153,"[bank_loan_data].[address_state]","[bank_loan_data].[address_state].&amp;[UT]")</f>
        <v>7.5396825396825393E-2</v>
      </c>
      <c r="T197" s="35">
        <f>GETPIVOTDATA("[Measures].[Average of loan_amount]",$K$153,"[bank_loan_data].[address_state]","[bank_loan_data].[address_state].&amp;[UT]")</f>
        <v>11306.448412698413</v>
      </c>
      <c r="U197" s="34">
        <f>GETPIVOTDATA("[Measures].[Average of int_rate]",$K$153,"[bank_loan_data].[address_state]","[bank_loan_data].[address_state].&amp;[UT]")</f>
        <v>0.1197571428571428</v>
      </c>
    </row>
    <row r="198" spans="3:21" x14ac:dyDescent="0.3">
      <c r="C198" s="3">
        <v>5.7</v>
      </c>
      <c r="D198" s="2">
        <v>0.14014598540145987</v>
      </c>
      <c r="E198" s="4">
        <v>685</v>
      </c>
      <c r="G198">
        <f t="shared" si="1"/>
        <v>5.7</v>
      </c>
      <c r="H198" s="34">
        <f>GETPIVOTDATA("[Measures].[% Charged Off Loans]",$C$179,"[bank_loan_data].[unemployment_rate]","[bank_loan_data].[unemployment_rate].&amp;[5.7]")</f>
        <v>0.14014598540145987</v>
      </c>
      <c r="I198">
        <f>GETPIVOTDATA("[Measures].[Total Disbursed Loans]",$C$179,"[bank_loan_data].[unemployment_rate]","[bank_loan_data].[unemployment_rate].&amp;[5.7]")</f>
        <v>685</v>
      </c>
      <c r="K198" s="3" t="s">
        <v>112</v>
      </c>
      <c r="L198" s="21">
        <v>0.12217512727272758</v>
      </c>
      <c r="M198" s="35">
        <v>11623.745454545455</v>
      </c>
      <c r="N198" s="2"/>
      <c r="O198" s="21">
        <v>7.2727272727272724E-2</v>
      </c>
      <c r="P198" s="21">
        <v>0.90024719830074706</v>
      </c>
      <c r="R198" t="str">
        <f t="shared" si="0"/>
        <v>VA</v>
      </c>
      <c r="S198" s="34">
        <f>GETPIVOTDATA("[Measures].[% Fraud Loans]",$K$153,"[bank_loan_data].[address_state]","[bank_loan_data].[address_state].&amp;[VA]")</f>
        <v>7.2727272727272724E-2</v>
      </c>
      <c r="T198" s="35">
        <f>GETPIVOTDATA("[Measures].[Average of loan_amount]",$K$153,"[bank_loan_data].[address_state]","[bank_loan_data].[address_state].&amp;[VA]")</f>
        <v>11623.745454545455</v>
      </c>
      <c r="U198" s="34">
        <f>GETPIVOTDATA("[Measures].[Average of int_rate]",$K$153,"[bank_loan_data].[address_state]","[bank_loan_data].[address_state].&amp;[VA]")</f>
        <v>0.12217512727272758</v>
      </c>
    </row>
    <row r="199" spans="3:21" x14ac:dyDescent="0.3">
      <c r="C199" s="3">
        <v>5.9</v>
      </c>
      <c r="D199" s="2">
        <v>0.11403508771929824</v>
      </c>
      <c r="E199" s="4">
        <v>1482</v>
      </c>
      <c r="G199">
        <f t="shared" si="1"/>
        <v>5.9</v>
      </c>
      <c r="H199" s="34">
        <f>GETPIVOTDATA("[Measures].[% Charged Off Loans]",$C$179,"[bank_loan_data].[unemployment_rate]","[bank_loan_data].[unemployment_rate].&amp;[5.9]")</f>
        <v>0.11403508771929824</v>
      </c>
      <c r="I199">
        <f>GETPIVOTDATA("[Measures].[Total Disbursed Loans]",$C$179,"[bank_loan_data].[unemployment_rate]","[bank_loan_data].[unemployment_rate].&amp;[5.9]")</f>
        <v>1482</v>
      </c>
      <c r="K199" s="3" t="s">
        <v>111</v>
      </c>
      <c r="L199" s="21">
        <v>0.11223148148148147</v>
      </c>
      <c r="M199" s="35">
        <v>9335.1851851851843</v>
      </c>
      <c r="N199" s="2"/>
      <c r="O199" s="21">
        <v>0.1111111111111111</v>
      </c>
      <c r="P199" s="21">
        <v>0.90586661848750061</v>
      </c>
      <c r="R199" t="str">
        <f t="shared" si="0"/>
        <v>VT</v>
      </c>
      <c r="S199" s="34">
        <f>GETPIVOTDATA("[Measures].[% Fraud Loans]",$K$153,"[bank_loan_data].[address_state]","[bank_loan_data].[address_state].&amp;[VT]")</f>
        <v>0.1111111111111111</v>
      </c>
      <c r="T199" s="35">
        <f>GETPIVOTDATA("[Measures].[Average of loan_amount]",$K$153,"[bank_loan_data].[address_state]","[bank_loan_data].[address_state].&amp;[VT]")</f>
        <v>9335.1851851851843</v>
      </c>
      <c r="U199" s="34">
        <f>GETPIVOTDATA("[Measures].[Average of int_rate]",$K$153,"[bank_loan_data].[address_state]","[bank_loan_data].[address_state].&amp;[VT]")</f>
        <v>0.11223148148148147</v>
      </c>
    </row>
    <row r="200" spans="3:21" x14ac:dyDescent="0.3">
      <c r="C200" s="3">
        <v>6</v>
      </c>
      <c r="D200" s="2">
        <v>0.16470588235294117</v>
      </c>
      <c r="E200" s="4">
        <v>170</v>
      </c>
      <c r="G200">
        <f t="shared" si="1"/>
        <v>6</v>
      </c>
      <c r="H200" s="34">
        <f>GETPIVOTDATA("[Measures].[% Charged Off Loans]",$C$179,"[bank_loan_data].[unemployment_rate]","[bank_loan_data].[unemployment_rate].&amp;[6.]")</f>
        <v>0.16470588235294117</v>
      </c>
      <c r="I200">
        <f>GETPIVOTDATA("[Measures].[Total Disbursed Loans]",$C$179,"[bank_loan_data].[unemployment_rate]","[bank_loan_data].[unemployment_rate].&amp;[6.]")</f>
        <v>170</v>
      </c>
      <c r="K200" s="3" t="s">
        <v>113</v>
      </c>
      <c r="L200" s="21">
        <v>0.12263093167701875</v>
      </c>
      <c r="M200" s="35">
        <v>11000.652173913044</v>
      </c>
      <c r="N200" s="2"/>
      <c r="O200" s="21">
        <v>0.10186335403726708</v>
      </c>
      <c r="P200" s="21">
        <v>0.88486884886698214</v>
      </c>
      <c r="R200" t="str">
        <f t="shared" si="0"/>
        <v>WA</v>
      </c>
      <c r="S200" s="34">
        <f>GETPIVOTDATA("[Measures].[% Fraud Loans]",$K$153,"[bank_loan_data].[address_state]","[bank_loan_data].[address_state].&amp;[WA]")</f>
        <v>0.10186335403726708</v>
      </c>
      <c r="T200" s="35">
        <f>GETPIVOTDATA("[Measures].[Average of loan_amount]",$K$153,"[bank_loan_data].[address_state]","[bank_loan_data].[address_state].&amp;[WA]")</f>
        <v>11000.652173913044</v>
      </c>
      <c r="U200" s="34">
        <f>GETPIVOTDATA("[Measures].[Average of int_rate]",$K$153,"[bank_loan_data].[address_state]","[bank_loan_data].[address_state].&amp;[WA]")</f>
        <v>0.12263093167701875</v>
      </c>
    </row>
    <row r="201" spans="3:21" x14ac:dyDescent="0.3">
      <c r="C201" s="3">
        <v>6.1</v>
      </c>
      <c r="D201" s="2">
        <v>0.12920592193808883</v>
      </c>
      <c r="E201" s="4">
        <v>1486</v>
      </c>
      <c r="G201">
        <f t="shared" si="1"/>
        <v>6.1</v>
      </c>
      <c r="H201" s="34">
        <f>GETPIVOTDATA("[Measures].[% Charged Off Loans]",$C$179,"[bank_loan_data].[unemployment_rate]","[bank_loan_data].[unemployment_rate].&amp;[6.1]")</f>
        <v>0.12920592193808883</v>
      </c>
      <c r="I201">
        <f>GETPIVOTDATA("[Measures].[Total Disbursed Loans]",$C$179,"[bank_loan_data].[unemployment_rate]","[bank_loan_data].[unemployment_rate].&amp;[6.1]")</f>
        <v>1486</v>
      </c>
      <c r="K201" s="3" t="s">
        <v>115</v>
      </c>
      <c r="L201" s="21">
        <v>0.12067847533632278</v>
      </c>
      <c r="M201" s="35">
        <v>11368.721973094171</v>
      </c>
      <c r="N201" s="2"/>
      <c r="O201" s="21">
        <v>8.520179372197309E-2</v>
      </c>
      <c r="P201" s="21">
        <v>0.88605504962028903</v>
      </c>
      <c r="R201" t="str">
        <f t="shared" si="0"/>
        <v>WI</v>
      </c>
      <c r="S201" s="34">
        <f>GETPIVOTDATA("[Measures].[% Fraud Loans]",$K$153,"[bank_loan_data].[address_state]","[bank_loan_data].[address_state].&amp;[WI]")</f>
        <v>8.520179372197309E-2</v>
      </c>
      <c r="T201" s="35">
        <f>GETPIVOTDATA("[Measures].[Average of loan_amount]",$K$153,"[bank_loan_data].[address_state]","[bank_loan_data].[address_state].&amp;[WI]")</f>
        <v>11368.721973094171</v>
      </c>
      <c r="U201" s="34">
        <f>GETPIVOTDATA("[Measures].[Average of int_rate]",$K$153,"[bank_loan_data].[address_state]","[bank_loan_data].[address_state].&amp;[WI]")</f>
        <v>0.12067847533632278</v>
      </c>
    </row>
    <row r="202" spans="3:21" x14ac:dyDescent="0.3">
      <c r="C202" s="3">
        <v>6.4</v>
      </c>
      <c r="D202" s="2">
        <v>0.12747524752475248</v>
      </c>
      <c r="E202" s="4">
        <v>808</v>
      </c>
      <c r="G202">
        <f t="shared" si="1"/>
        <v>6.4</v>
      </c>
      <c r="H202" s="34">
        <f>GETPIVOTDATA("[Measures].[% Charged Off Loans]",$C$179,"[bank_loan_data].[unemployment_rate]","[bank_loan_data].[unemployment_rate].&amp;[6.4]")</f>
        <v>0.12747524752475248</v>
      </c>
      <c r="I202">
        <f>GETPIVOTDATA("[Measures].[Total Disbursed Loans]",$C$179,"[bank_loan_data].[unemployment_rate]","[bank_loan_data].[unemployment_rate].&amp;[6.4]")</f>
        <v>808</v>
      </c>
      <c r="K202" s="3" t="s">
        <v>114</v>
      </c>
      <c r="L202" s="21">
        <v>0.11725269461077847</v>
      </c>
      <c r="M202" s="35">
        <v>10961.22754491018</v>
      </c>
      <c r="N202" s="2"/>
      <c r="O202" s="21">
        <v>7.1856287425149698E-2</v>
      </c>
      <c r="P202" s="21">
        <v>0.90167494554704364</v>
      </c>
      <c r="R202" t="str">
        <f t="shared" si="0"/>
        <v>WV</v>
      </c>
      <c r="S202" s="34">
        <f>GETPIVOTDATA("[Measures].[% Fraud Loans]",$K$153,"[bank_loan_data].[address_state]","[bank_loan_data].[address_state].&amp;[WV]")</f>
        <v>7.1856287425149698E-2</v>
      </c>
      <c r="T202" s="35">
        <f>GETPIVOTDATA("[Measures].[Average of loan_amount]",$K$153,"[bank_loan_data].[address_state]","[bank_loan_data].[address_state].&amp;[WV]")</f>
        <v>10961.22754491018</v>
      </c>
      <c r="U202" s="34">
        <f>GETPIVOTDATA("[Measures].[Average of int_rate]",$K$153,"[bank_loan_data].[address_state]","[bank_loan_data].[address_state].&amp;[WV]")</f>
        <v>0.11725269461077847</v>
      </c>
    </row>
    <row r="203" spans="3:21" x14ac:dyDescent="0.3">
      <c r="C203" s="3">
        <v>6.7</v>
      </c>
      <c r="D203" s="2">
        <v>0.14983534577387486</v>
      </c>
      <c r="E203" s="4">
        <v>1822</v>
      </c>
      <c r="G203">
        <f t="shared" si="1"/>
        <v>6.7</v>
      </c>
      <c r="H203" s="34">
        <f>GETPIVOTDATA("[Measures].[% Charged Off Loans]",$C$179,"[bank_loan_data].[unemployment_rate]","[bank_loan_data].[unemployment_rate].&amp;[6.7]")</f>
        <v>0.14983534577387486</v>
      </c>
      <c r="I203">
        <f>GETPIVOTDATA("[Measures].[Total Disbursed Loans]",$C$179,"[bank_loan_data].[unemployment_rate]","[bank_loan_data].[unemployment_rate].&amp;[6.7]")</f>
        <v>1822</v>
      </c>
      <c r="K203" s="3" t="s">
        <v>116</v>
      </c>
      <c r="L203" s="21">
        <v>0.12524050632911393</v>
      </c>
      <c r="M203" s="35">
        <v>11275.316455696202</v>
      </c>
      <c r="N203" s="2"/>
      <c r="O203" s="21">
        <v>1.2658227848101266E-2</v>
      </c>
      <c r="P203" s="21">
        <v>0.95031277328350849</v>
      </c>
      <c r="R203" t="str">
        <f t="shared" si="0"/>
        <v>WY</v>
      </c>
      <c r="S203" s="34">
        <f>GETPIVOTDATA("[Measures].[% Fraud Loans]",$K$153,"[bank_loan_data].[address_state]","[bank_loan_data].[address_state].&amp;[WY]")</f>
        <v>1.2658227848101266E-2</v>
      </c>
      <c r="T203" s="35">
        <f>GETPIVOTDATA("[Measures].[Average of loan_amount]",$K$153,"[bank_loan_data].[address_state]","[bank_loan_data].[address_state].&amp;[WY]")</f>
        <v>11275.316455696202</v>
      </c>
      <c r="U203" s="34">
        <f>GETPIVOTDATA("[Measures].[Average of int_rate]",$K$153,"[bank_loan_data].[address_state]","[bank_loan_data].[address_state].&amp;[WY]")</f>
        <v>0.12524050632911393</v>
      </c>
    </row>
    <row r="204" spans="3:21" x14ac:dyDescent="0.3">
      <c r="C204" s="3">
        <v>6.8</v>
      </c>
      <c r="D204" s="2">
        <v>0.16666666666666666</v>
      </c>
      <c r="E204" s="4">
        <v>696</v>
      </c>
      <c r="G204">
        <f t="shared" si="1"/>
        <v>6.8</v>
      </c>
      <c r="H204" s="34">
        <f>GETPIVOTDATA("[Measures].[% Charged Off Loans]",$C$179,"[bank_loan_data].[unemployment_rate]","[bank_loan_data].[unemployment_rate].&amp;[6.8]")</f>
        <v>0.16666666666666666</v>
      </c>
      <c r="I204">
        <f>GETPIVOTDATA("[Measures].[Total Disbursed Loans]",$C$179,"[bank_loan_data].[unemployment_rate]","[bank_loan_data].[unemployment_rate].&amp;[6.8]")</f>
        <v>696</v>
      </c>
    </row>
    <row r="205" spans="3:21" x14ac:dyDescent="0.3">
      <c r="C205" s="3">
        <v>7.1</v>
      </c>
      <c r="D205" s="2">
        <v>0.12796086508753862</v>
      </c>
      <c r="E205" s="4">
        <v>3884</v>
      </c>
      <c r="G205">
        <f t="shared" si="1"/>
        <v>7.1</v>
      </c>
      <c r="H205" s="34">
        <f>GETPIVOTDATA("[Measures].[% Charged Off Loans]",$C$179,"[bank_loan_data].[unemployment_rate]","[bank_loan_data].[unemployment_rate].&amp;[7.1]")</f>
        <v>0.12796086508753862</v>
      </c>
      <c r="I205">
        <f>GETPIVOTDATA("[Measures].[Total Disbursed Loans]",$C$179,"[bank_loan_data].[unemployment_rate]","[bank_loan_data].[unemployment_rate].&amp;[7.1]")</f>
        <v>3884</v>
      </c>
    </row>
    <row r="206" spans="3:21" x14ac:dyDescent="0.3">
      <c r="C206" s="3">
        <v>7.3</v>
      </c>
      <c r="D206" s="2">
        <v>0.1533217290397447</v>
      </c>
      <c r="E206" s="4">
        <v>6894</v>
      </c>
      <c r="G206">
        <f t="shared" si="1"/>
        <v>7.3</v>
      </c>
      <c r="H206" s="34">
        <f>GETPIVOTDATA("[Measures].[% Charged Off Loans]",$C$179,"[bank_loan_data].[unemployment_rate]","[bank_loan_data].[unemployment_rate].&amp;[7.3]")</f>
        <v>0.1533217290397447</v>
      </c>
      <c r="I206">
        <f>GETPIVOTDATA("[Measures].[Total Disbursed Loans]",$C$179,"[bank_loan_data].[unemployment_rate]","[bank_loan_data].[unemployment_rate].&amp;[7.3]")</f>
        <v>6894</v>
      </c>
    </row>
    <row r="226" spans="3:12" x14ac:dyDescent="0.3">
      <c r="C226" s="1" t="s">
        <v>56</v>
      </c>
      <c r="D226" t="s">
        <v>10</v>
      </c>
    </row>
    <row r="227" spans="3:12" x14ac:dyDescent="0.3">
      <c r="C227" s="3" t="s">
        <v>36</v>
      </c>
      <c r="D227" s="5">
        <v>78484125</v>
      </c>
    </row>
    <row r="228" spans="3:12" x14ac:dyDescent="0.3">
      <c r="C228" s="3" t="s">
        <v>39</v>
      </c>
      <c r="D228" s="5">
        <v>42077050</v>
      </c>
      <c r="J228" s="1" t="s">
        <v>11</v>
      </c>
      <c r="K228" s="1" t="s">
        <v>29</v>
      </c>
    </row>
    <row r="229" spans="3:12" x14ac:dyDescent="0.3">
      <c r="C229" s="3" t="s">
        <v>40</v>
      </c>
      <c r="D229" s="5">
        <v>31236650</v>
      </c>
      <c r="J229" s="1" t="s">
        <v>56</v>
      </c>
      <c r="K229" t="s">
        <v>27</v>
      </c>
      <c r="L229" t="s">
        <v>28</v>
      </c>
    </row>
    <row r="230" spans="3:12" x14ac:dyDescent="0.3">
      <c r="C230" s="3" t="s">
        <v>37</v>
      </c>
      <c r="D230" s="5">
        <v>30046125</v>
      </c>
      <c r="J230" s="3" t="s">
        <v>12</v>
      </c>
      <c r="K230" s="37">
        <v>1302</v>
      </c>
      <c r="L230" s="37">
        <v>1030</v>
      </c>
    </row>
    <row r="231" spans="3:12" x14ac:dyDescent="0.3">
      <c r="C231" s="3" t="s">
        <v>38</v>
      </c>
      <c r="D231" s="5">
        <v>21657475</v>
      </c>
      <c r="J231" s="3" t="s">
        <v>13</v>
      </c>
      <c r="K231" s="37">
        <v>1262</v>
      </c>
      <c r="L231" s="37">
        <v>1017</v>
      </c>
    </row>
    <row r="232" spans="3:12" x14ac:dyDescent="0.3">
      <c r="C232" s="3" t="s">
        <v>85</v>
      </c>
      <c r="D232" s="5">
        <v>17124225</v>
      </c>
      <c r="J232" s="3" t="s">
        <v>14</v>
      </c>
      <c r="K232" s="37">
        <v>1458</v>
      </c>
      <c r="L232" s="37">
        <v>1169</v>
      </c>
    </row>
    <row r="233" spans="3:12" x14ac:dyDescent="0.3">
      <c r="C233" s="3" t="s">
        <v>112</v>
      </c>
      <c r="D233" s="5">
        <v>15982650</v>
      </c>
      <c r="J233" s="3" t="s">
        <v>15</v>
      </c>
      <c r="K233" s="37">
        <v>1502</v>
      </c>
      <c r="L233" s="37">
        <v>1253</v>
      </c>
    </row>
    <row r="234" spans="3:12" x14ac:dyDescent="0.3">
      <c r="C234" s="3" t="s">
        <v>105</v>
      </c>
      <c r="D234" s="5">
        <v>15826525</v>
      </c>
      <c r="J234" s="3" t="s">
        <v>16</v>
      </c>
      <c r="K234" s="37">
        <v>1599</v>
      </c>
      <c r="L234" s="37">
        <v>1312</v>
      </c>
    </row>
    <row r="235" spans="3:12" x14ac:dyDescent="0.3">
      <c r="C235" s="3" t="s">
        <v>82</v>
      </c>
      <c r="D235" s="5">
        <v>15480325</v>
      </c>
      <c r="J235" s="3" t="s">
        <v>17</v>
      </c>
      <c r="K235" s="37">
        <v>1675</v>
      </c>
      <c r="L235" s="37">
        <v>1509</v>
      </c>
    </row>
    <row r="236" spans="3:12" x14ac:dyDescent="0.3">
      <c r="C236" s="3" t="s">
        <v>92</v>
      </c>
      <c r="D236" s="5">
        <v>15051000</v>
      </c>
      <c r="J236" s="3" t="s">
        <v>18</v>
      </c>
      <c r="K236" s="37">
        <v>1759</v>
      </c>
      <c r="L236" s="37">
        <v>1607</v>
      </c>
    </row>
    <row r="237" spans="3:12" x14ac:dyDescent="0.3">
      <c r="C237" s="3" t="s">
        <v>102</v>
      </c>
      <c r="D237" s="5">
        <v>12991375</v>
      </c>
      <c r="J237" s="3" t="s">
        <v>19</v>
      </c>
      <c r="K237" s="37">
        <v>1886</v>
      </c>
      <c r="L237" s="37">
        <v>1555</v>
      </c>
    </row>
    <row r="238" spans="3:12" x14ac:dyDescent="0.3">
      <c r="C238" s="3" t="s">
        <v>91</v>
      </c>
      <c r="D238" s="5">
        <v>11911400</v>
      </c>
      <c r="J238" s="3" t="s">
        <v>20</v>
      </c>
      <c r="K238" s="37">
        <v>1988</v>
      </c>
      <c r="L238" s="37">
        <v>1548</v>
      </c>
    </row>
    <row r="239" spans="3:12" x14ac:dyDescent="0.3">
      <c r="C239" s="3" t="s">
        <v>76</v>
      </c>
      <c r="D239" s="5">
        <v>9206000</v>
      </c>
      <c r="J239" s="3" t="s">
        <v>21</v>
      </c>
      <c r="K239" s="37">
        <v>2098</v>
      </c>
      <c r="L239" s="37">
        <v>1698</v>
      </c>
    </row>
    <row r="240" spans="3:12" x14ac:dyDescent="0.3">
      <c r="C240" s="3" t="s">
        <v>78</v>
      </c>
      <c r="D240" s="5">
        <v>8976000</v>
      </c>
      <c r="J240" s="3" t="s">
        <v>22</v>
      </c>
      <c r="K240" s="37">
        <v>2124</v>
      </c>
      <c r="L240" s="37">
        <v>1911</v>
      </c>
    </row>
    <row r="241" spans="3:16" x14ac:dyDescent="0.3">
      <c r="C241" s="3" t="s">
        <v>113</v>
      </c>
      <c r="D241" s="5">
        <v>8855525</v>
      </c>
      <c r="J241" s="3" t="s">
        <v>23</v>
      </c>
      <c r="K241" s="37">
        <v>2364</v>
      </c>
      <c r="L241" s="37">
        <v>1950</v>
      </c>
    </row>
    <row r="242" spans="3:16" x14ac:dyDescent="0.3">
      <c r="C242" s="3" t="s">
        <v>101</v>
      </c>
      <c r="D242" s="5">
        <v>8787575</v>
      </c>
    </row>
    <row r="243" spans="3:16" x14ac:dyDescent="0.3">
      <c r="C243" s="3" t="s">
        <v>79</v>
      </c>
      <c r="D243" s="5">
        <v>8435575</v>
      </c>
    </row>
    <row r="244" spans="3:16" x14ac:dyDescent="0.3">
      <c r="C244" s="3" t="s">
        <v>93</v>
      </c>
      <c r="D244" s="5">
        <v>7829900</v>
      </c>
    </row>
    <row r="245" spans="3:16" x14ac:dyDescent="0.3">
      <c r="C245" s="3" t="s">
        <v>96</v>
      </c>
      <c r="D245" s="5">
        <v>7151175</v>
      </c>
    </row>
    <row r="246" spans="3:16" x14ac:dyDescent="0.3">
      <c r="C246" s="3" t="s">
        <v>94</v>
      </c>
      <c r="D246" s="5">
        <v>6302600</v>
      </c>
      <c r="J246" s="74" t="s">
        <v>134</v>
      </c>
      <c r="K246" s="74"/>
      <c r="L246" s="74"/>
      <c r="M246" s="74"/>
      <c r="N246" s="74"/>
      <c r="O246" s="74"/>
      <c r="P246" s="74"/>
    </row>
    <row r="247" spans="3:16" x14ac:dyDescent="0.3">
      <c r="C247" s="3" t="s">
        <v>98</v>
      </c>
      <c r="D247" s="5">
        <v>5307375</v>
      </c>
      <c r="J247" s="58" t="s">
        <v>135</v>
      </c>
      <c r="K247" s="58" t="s">
        <v>138</v>
      </c>
      <c r="L247" s="58" t="s">
        <v>136</v>
      </c>
      <c r="M247" s="58" t="s">
        <v>132</v>
      </c>
      <c r="N247" s="58" t="s">
        <v>137</v>
      </c>
      <c r="O247" s="58" t="s">
        <v>121</v>
      </c>
      <c r="P247" s="58" t="s">
        <v>65</v>
      </c>
    </row>
    <row r="248" spans="3:16" x14ac:dyDescent="0.3">
      <c r="C248" s="3" t="s">
        <v>107</v>
      </c>
      <c r="D248" s="5">
        <v>5080475</v>
      </c>
      <c r="J248" s="24" t="s">
        <v>116</v>
      </c>
      <c r="K248" s="68">
        <v>4.5</v>
      </c>
      <c r="L248" s="67">
        <v>58220.557974683543</v>
      </c>
      <c r="M248" s="67">
        <v>11275.316455696202</v>
      </c>
      <c r="N248" s="75">
        <v>0.12524050632911393</v>
      </c>
      <c r="O248" s="63">
        <v>1.2658227848101266E-2</v>
      </c>
      <c r="P248" s="76">
        <v>79</v>
      </c>
    </row>
    <row r="249" spans="3:16" x14ac:dyDescent="0.3">
      <c r="C249" s="3" t="s">
        <v>115</v>
      </c>
      <c r="D249" s="5">
        <v>5070450</v>
      </c>
      <c r="J249" s="24" t="s">
        <v>75</v>
      </c>
      <c r="K249" s="68">
        <v>6.3999999999999906</v>
      </c>
      <c r="L249" s="67">
        <v>78759.090256410258</v>
      </c>
      <c r="M249" s="67">
        <v>13228.205128205129</v>
      </c>
      <c r="N249" s="75">
        <v>0.12791538461538465</v>
      </c>
      <c r="O249" s="63">
        <v>3.8461538461538464E-2</v>
      </c>
      <c r="P249" s="76">
        <v>78</v>
      </c>
    </row>
    <row r="250" spans="3:16" x14ac:dyDescent="0.3">
      <c r="C250" s="3" t="s">
        <v>74</v>
      </c>
      <c r="D250" s="5">
        <v>4949225</v>
      </c>
      <c r="J250" s="24" t="s">
        <v>74</v>
      </c>
      <c r="K250" s="68">
        <v>3.4000000000000163</v>
      </c>
      <c r="L250" s="67">
        <v>63085.690879629634</v>
      </c>
      <c r="M250" s="67">
        <v>11456.539351851852</v>
      </c>
      <c r="N250" s="75">
        <v>0.11859444444444457</v>
      </c>
      <c r="O250" s="63">
        <v>4.6296296296296294E-2</v>
      </c>
      <c r="P250" s="76">
        <v>432</v>
      </c>
    </row>
    <row r="251" spans="3:16" x14ac:dyDescent="0.3">
      <c r="C251" s="3" t="s">
        <v>104</v>
      </c>
      <c r="D251" s="5">
        <v>4720150</v>
      </c>
      <c r="J251" s="24" t="s">
        <v>103</v>
      </c>
      <c r="K251" s="68">
        <v>4</v>
      </c>
      <c r="L251" s="67">
        <v>62369.447645051194</v>
      </c>
      <c r="M251" s="67">
        <v>11487.116040955631</v>
      </c>
      <c r="N251" s="75">
        <v>0.11895324232081908</v>
      </c>
      <c r="O251" s="63">
        <v>4.778156996587031E-2</v>
      </c>
      <c r="P251" s="76">
        <v>293</v>
      </c>
    </row>
    <row r="252" spans="3:16" x14ac:dyDescent="0.3">
      <c r="C252" s="3" t="s">
        <v>89</v>
      </c>
      <c r="D252" s="5">
        <v>4498900</v>
      </c>
      <c r="J252" s="24" t="s">
        <v>87</v>
      </c>
      <c r="K252" s="68">
        <v>3.2999999999999865</v>
      </c>
      <c r="L252" s="67">
        <v>63501.781076923078</v>
      </c>
      <c r="M252" s="67">
        <v>11047.403846153846</v>
      </c>
      <c r="N252" s="75">
        <v>0.11818615384615373</v>
      </c>
      <c r="O252" s="63">
        <v>0.05</v>
      </c>
      <c r="P252" s="76">
        <v>260</v>
      </c>
    </row>
    <row r="253" spans="3:16" x14ac:dyDescent="0.3">
      <c r="C253" s="3" t="s">
        <v>88</v>
      </c>
      <c r="D253" s="5">
        <v>3504100</v>
      </c>
    </row>
    <row r="254" spans="3:16" x14ac:dyDescent="0.3">
      <c r="C254" s="3" t="s">
        <v>103</v>
      </c>
      <c r="D254" s="5">
        <v>3365725</v>
      </c>
      <c r="J254" s="74" t="s">
        <v>133</v>
      </c>
      <c r="K254" s="74"/>
      <c r="L254" s="74"/>
      <c r="M254" s="74"/>
      <c r="N254" s="74"/>
      <c r="O254" s="74"/>
      <c r="P254" s="74"/>
    </row>
    <row r="255" spans="3:16" x14ac:dyDescent="0.3">
      <c r="C255" s="3" t="s">
        <v>87</v>
      </c>
      <c r="D255" s="5">
        <v>2872325</v>
      </c>
      <c r="J255" s="58" t="s">
        <v>135</v>
      </c>
      <c r="K255" s="58" t="s">
        <v>138</v>
      </c>
      <c r="L255" s="58" t="s">
        <v>136</v>
      </c>
      <c r="M255" s="58" t="s">
        <v>132</v>
      </c>
      <c r="N255" s="58" t="s">
        <v>137</v>
      </c>
      <c r="O255" s="58" t="s">
        <v>121</v>
      </c>
      <c r="P255" s="58" t="s">
        <v>65</v>
      </c>
    </row>
    <row r="256" spans="3:16" x14ac:dyDescent="0.3">
      <c r="C256" s="3" t="s">
        <v>110</v>
      </c>
      <c r="D256" s="5">
        <v>2849225</v>
      </c>
      <c r="J256" s="24" t="s">
        <v>90</v>
      </c>
      <c r="K256" s="68">
        <v>4.7</v>
      </c>
      <c r="L256" s="67">
        <v>23866.666666666668</v>
      </c>
      <c r="M256" s="67">
        <v>3066.6666666666665</v>
      </c>
      <c r="N256" s="75">
        <v>0.10486666666666666</v>
      </c>
      <c r="O256" s="63">
        <v>0.66666666666666663</v>
      </c>
      <c r="P256" s="25">
        <v>3</v>
      </c>
    </row>
    <row r="257" spans="3:16" x14ac:dyDescent="0.3">
      <c r="C257" s="3" t="s">
        <v>81</v>
      </c>
      <c r="D257" s="5">
        <v>2652350</v>
      </c>
      <c r="J257" s="24" t="s">
        <v>84</v>
      </c>
      <c r="K257" s="68">
        <v>3.6</v>
      </c>
      <c r="L257" s="67">
        <v>57792.933333333327</v>
      </c>
      <c r="M257" s="67">
        <v>9958.3333333333339</v>
      </c>
      <c r="N257" s="75">
        <v>0.11511666666666666</v>
      </c>
      <c r="O257" s="63">
        <v>0.16666666666666666</v>
      </c>
      <c r="P257" s="25">
        <v>6</v>
      </c>
    </row>
    <row r="258" spans="3:16" x14ac:dyDescent="0.3">
      <c r="C258" s="3" t="s">
        <v>77</v>
      </c>
      <c r="D258" s="5">
        <v>2529700</v>
      </c>
      <c r="J258" s="24" t="s">
        <v>95</v>
      </c>
      <c r="K258" s="68">
        <v>5.4000000000000021</v>
      </c>
      <c r="L258" s="67">
        <v>55121.526315789473</v>
      </c>
      <c r="M258" s="67">
        <v>7322.3684210526317</v>
      </c>
      <c r="N258" s="75">
        <v>0.1179</v>
      </c>
      <c r="O258" s="63">
        <v>0.15789473684210525</v>
      </c>
      <c r="P258" s="25">
        <v>19</v>
      </c>
    </row>
    <row r="259" spans="3:16" x14ac:dyDescent="0.3">
      <c r="C259" s="3" t="s">
        <v>99</v>
      </c>
      <c r="D259" s="5">
        <v>1917900</v>
      </c>
      <c r="J259" s="24" t="s">
        <v>109</v>
      </c>
      <c r="K259" s="68">
        <v>4.5</v>
      </c>
      <c r="L259" s="67">
        <v>61530.058823529413</v>
      </c>
      <c r="M259" s="67">
        <v>9539.7058823529405</v>
      </c>
      <c r="N259" s="75">
        <v>0.10561176470588236</v>
      </c>
      <c r="O259" s="63">
        <v>0.11764705882352941</v>
      </c>
      <c r="P259" s="25">
        <v>17</v>
      </c>
    </row>
    <row r="260" spans="3:16" x14ac:dyDescent="0.3">
      <c r="C260" s="3" t="s">
        <v>100</v>
      </c>
      <c r="D260" s="5">
        <v>1916775</v>
      </c>
      <c r="J260" s="24" t="s">
        <v>97</v>
      </c>
      <c r="K260" s="68">
        <v>3.4000000000000026</v>
      </c>
      <c r="L260" s="67">
        <v>55274.124050632912</v>
      </c>
      <c r="M260" s="67">
        <v>10500.316455696202</v>
      </c>
      <c r="N260" s="75">
        <v>0.12076455696202534</v>
      </c>
      <c r="O260" s="63">
        <v>0.11392405063291139</v>
      </c>
      <c r="P260" s="25">
        <v>79</v>
      </c>
    </row>
    <row r="261" spans="3:16" x14ac:dyDescent="0.3">
      <c r="C261" s="3" t="s">
        <v>106</v>
      </c>
      <c r="D261" s="5">
        <v>1883025</v>
      </c>
    </row>
    <row r="262" spans="3:16" x14ac:dyDescent="0.3">
      <c r="C262" s="3" t="s">
        <v>83</v>
      </c>
      <c r="D262" s="5">
        <v>1850525</v>
      </c>
    </row>
    <row r="263" spans="3:16" x14ac:dyDescent="0.3">
      <c r="C263" s="3" t="s">
        <v>114</v>
      </c>
      <c r="D263" s="5">
        <v>1830525</v>
      </c>
      <c r="J263" s="24" t="s">
        <v>138</v>
      </c>
      <c r="K263" s="24" t="s">
        <v>136</v>
      </c>
      <c r="L263" s="24" t="s">
        <v>132</v>
      </c>
      <c r="M263" s="24" t="s">
        <v>121</v>
      </c>
      <c r="N263" s="24" t="s">
        <v>137</v>
      </c>
      <c r="O263" s="24" t="s">
        <v>65</v>
      </c>
      <c r="P263" s="24" t="s">
        <v>24</v>
      </c>
    </row>
    <row r="264" spans="3:16" x14ac:dyDescent="0.3">
      <c r="C264" s="3" t="s">
        <v>80</v>
      </c>
      <c r="D264" s="5">
        <v>1138100</v>
      </c>
      <c r="J264" s="40">
        <v>5.7109575902115006</v>
      </c>
      <c r="K264" s="38">
        <v>69644.540310037322</v>
      </c>
      <c r="L264" s="38">
        <v>11296.066855039402</v>
      </c>
      <c r="M264" s="28">
        <v>7.7716715055993368E-2</v>
      </c>
      <c r="N264" s="39">
        <v>0.12048831397760013</v>
      </c>
      <c r="O264" s="25">
        <v>38576</v>
      </c>
      <c r="P264" s="28">
        <v>0.13327433119037743</v>
      </c>
    </row>
    <row r="265" spans="3:16" x14ac:dyDescent="0.3">
      <c r="C265" s="3" t="s">
        <v>75</v>
      </c>
      <c r="D265" s="5">
        <v>1031800</v>
      </c>
      <c r="J265" s="36">
        <f>GETPIVOTDATA("[Measures].[Average of unemployment_rate]",$J$263)</f>
        <v>5.7109575902115006</v>
      </c>
      <c r="K265" s="35">
        <f>GETPIVOTDATA("[Measures].[Average of annual_income]",$J$263)</f>
        <v>69644.540310037322</v>
      </c>
      <c r="L265" s="35">
        <f>GETPIVOTDATA("[Measures].[Average of loan_amount]",$J$263)</f>
        <v>11296.066855039402</v>
      </c>
      <c r="M265" s="34">
        <f>GETPIVOTDATA("[Measures].[% Fraud Loans]",$J$263)</f>
        <v>7.7716715055993368E-2</v>
      </c>
      <c r="N265" s="34">
        <f>GETPIVOTDATA("[Measures].[Avg Interest Rate]",$J$263)</f>
        <v>0.12048831397760013</v>
      </c>
      <c r="O265">
        <f>GETPIVOTDATA("[Measures].[Total Disbursed Loans]",$J$263)</f>
        <v>38576</v>
      </c>
      <c r="P265" s="34">
        <f>GETPIVOTDATA("[Measures].[Avg DTI]",$J$263)</f>
        <v>0.13327433119037743</v>
      </c>
    </row>
    <row r="266" spans="3:16" x14ac:dyDescent="0.3">
      <c r="C266" s="3" t="s">
        <v>116</v>
      </c>
      <c r="D266" s="5">
        <v>890750</v>
      </c>
    </row>
    <row r="267" spans="3:16" x14ac:dyDescent="0.3">
      <c r="C267" s="3" t="s">
        <v>97</v>
      </c>
      <c r="D267" s="5">
        <v>829525</v>
      </c>
    </row>
    <row r="268" spans="3:16" x14ac:dyDescent="0.3">
      <c r="C268" s="3" t="s">
        <v>108</v>
      </c>
      <c r="D268" s="5">
        <v>606150</v>
      </c>
    </row>
    <row r="269" spans="3:16" x14ac:dyDescent="0.3">
      <c r="C269" s="3" t="s">
        <v>111</v>
      </c>
      <c r="D269" s="5">
        <v>504100</v>
      </c>
    </row>
    <row r="270" spans="3:16" x14ac:dyDescent="0.3">
      <c r="C270" s="3" t="s">
        <v>109</v>
      </c>
      <c r="D270" s="5">
        <v>162175</v>
      </c>
    </row>
    <row r="271" spans="3:16" ht="15" thickBot="1" x14ac:dyDescent="0.35">
      <c r="C271" s="3" t="s">
        <v>95</v>
      </c>
      <c r="D271" s="5">
        <v>139125</v>
      </c>
    </row>
    <row r="272" spans="3:16" ht="15" thickBot="1" x14ac:dyDescent="0.35">
      <c r="C272" s="3" t="s">
        <v>86</v>
      </c>
      <c r="D272" s="5">
        <v>86225</v>
      </c>
      <c r="F272" s="41"/>
      <c r="G272" s="42"/>
      <c r="H272" s="42"/>
      <c r="I272" s="42"/>
      <c r="J272" s="43"/>
    </row>
    <row r="273" spans="3:10" ht="15" thickBot="1" x14ac:dyDescent="0.35">
      <c r="C273" s="3" t="s">
        <v>84</v>
      </c>
      <c r="D273" s="5">
        <v>59750</v>
      </c>
      <c r="F273" s="50" t="s">
        <v>56</v>
      </c>
      <c r="G273" s="54" t="s">
        <v>11</v>
      </c>
      <c r="I273" t="s">
        <v>139</v>
      </c>
      <c r="J273" s="44" t="s">
        <v>65</v>
      </c>
    </row>
    <row r="274" spans="3:10" x14ac:dyDescent="0.3">
      <c r="C274" s="3" t="s">
        <v>127</v>
      </c>
      <c r="D274" s="5">
        <v>56450</v>
      </c>
      <c r="F274" s="51" t="s">
        <v>5</v>
      </c>
      <c r="G274" s="47">
        <v>17198</v>
      </c>
      <c r="I274" t="str">
        <f>F274</f>
        <v>MORTGAGE</v>
      </c>
      <c r="J274" s="44">
        <f>GETPIVOTDATA("[Measures].[Total Disbursed Loans]",$F$273,"[bank_loan_data].[home_ownership]","[bank_loan_data].[home_ownership].&amp;[MORTGAGE]")</f>
        <v>17198</v>
      </c>
    </row>
    <row r="275" spans="3:10" x14ac:dyDescent="0.3">
      <c r="C275" s="3" t="s">
        <v>128</v>
      </c>
      <c r="D275" s="5">
        <v>31700</v>
      </c>
      <c r="F275" s="52" t="s">
        <v>6</v>
      </c>
      <c r="G275" s="48">
        <v>3</v>
      </c>
      <c r="I275" t="str">
        <f>F275</f>
        <v>NONE</v>
      </c>
      <c r="J275" s="44">
        <f>GETPIVOTDATA("[Measures].[Total Disbursed Loans]",$F$273,"[bank_loan_data].[home_ownership]","[bank_loan_data].[home_ownership].&amp;[NONE]")</f>
        <v>3</v>
      </c>
    </row>
    <row r="276" spans="3:10" x14ac:dyDescent="0.3">
      <c r="C276" s="3" t="s">
        <v>90</v>
      </c>
      <c r="D276" s="5">
        <v>9200</v>
      </c>
      <c r="F276" s="52" t="s">
        <v>7</v>
      </c>
      <c r="G276" s="48">
        <v>98</v>
      </c>
      <c r="I276" t="str">
        <f>F276</f>
        <v>OTHER</v>
      </c>
      <c r="J276" s="44">
        <f>GETPIVOTDATA("[Measures].[Total Disbursed Loans]",$F$273,"[bank_loan_data].[home_ownership]","[bank_loan_data].[home_ownership].&amp;[OTHER]")</f>
        <v>98</v>
      </c>
    </row>
    <row r="277" spans="3:10" x14ac:dyDescent="0.3">
      <c r="F277" s="52" t="s">
        <v>8</v>
      </c>
      <c r="G277" s="48">
        <v>2838</v>
      </c>
      <c r="I277" t="str">
        <f>F277</f>
        <v>OWN</v>
      </c>
      <c r="J277" s="44">
        <f>GETPIVOTDATA("[Measures].[Total Disbursed Loans]",$F$273,"[bank_loan_data].[home_ownership]","[bank_loan_data].[home_ownership].&amp;[OWN]")</f>
        <v>2838</v>
      </c>
    </row>
    <row r="278" spans="3:10" ht="15" thickBot="1" x14ac:dyDescent="0.35">
      <c r="F278" s="53" t="s">
        <v>9</v>
      </c>
      <c r="G278" s="49">
        <v>18439</v>
      </c>
      <c r="H278" s="45"/>
      <c r="I278" s="45" t="str">
        <f>F278</f>
        <v>RENT</v>
      </c>
      <c r="J278" s="46">
        <f>GETPIVOTDATA("[Measures].[Total Disbursed Loans]",$F$273,"[bank_loan_data].[home_ownership]","[bank_loan_data].[home_ownership].&amp;[RENT]")</f>
        <v>18439</v>
      </c>
    </row>
  </sheetData>
  <mergeCells count="4">
    <mergeCell ref="M2:M4"/>
    <mergeCell ref="K115:O115"/>
    <mergeCell ref="J254:P254"/>
    <mergeCell ref="J246:P246"/>
  </mergeCells>
  <conditionalFormatting sqref="F4">
    <cfRule type="colorScale" priority="3">
      <colorScale>
        <cfvo type="min"/>
        <cfvo type="num" val="0"/>
        <cfvo type="max"/>
        <color rgb="FFF8696B"/>
        <color rgb="FFFFEB84"/>
        <color rgb="FF63BE7B"/>
      </colorScale>
    </cfRule>
  </conditionalFormatting>
  <conditionalFormatting pivot="1" sqref="C120:I167">
    <cfRule type="colorScale" priority="2">
      <colorScale>
        <cfvo type="num" val="$C$121"/>
        <cfvo type="percentile" val="50"/>
        <cfvo type="max"/>
        <color theme="5" tint="0.59999389629810485"/>
        <color theme="5" tint="0.39997558519241921"/>
        <color rgb="FFF8696B"/>
      </colorScale>
    </cfRule>
  </conditionalFormatting>
  <pageMargins left="0.7" right="0.7" top="0.75" bottom="0.75" header="0.3" footer="0.3"/>
  <drawing r:id="rId27"/>
  <tableParts count="2">
    <tablePart r:id="rId28"/>
    <tablePart r:id="rId29"/>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b a n k _ l o a n _ d a t a _ 0 e 5 9 4 7 5 4 - 0 c 8 0 - 4 5 9 f - 9 0 9 2 - 1 2 6 f 0 e 5 3 1 8 8 8 " > < C u s t o m C o n t e n t > < ! [ C D A T A [ < T a b l e W i d g e t G r i d S e r i a l i z a t i o n   x m l n s : x s d = " h t t p : / / w w w . w 3 . o r g / 2 0 0 1 / X M L S c h e m a "   x m l n s : x s i = " h t t p : / / w w w . w 3 . o r g / 2 0 0 1 / X M L S c h e m a - i n s t a n c e " > < C o l u m n S u g g e s t e d T y p e   / > < C o l u m n F o r m a t   / > < C o l u m n A c c u r a c y   / > < C o l u m n C u r r e n c y S y m b o l   / > < C o l u m n P o s i t i v e P a t t e r n   / > < C o l u m n N e g a t i v e P a t t e r n   / > < C o l u m n W i d t h s > < i t e m > < k e y > < s t r i n g > i d < / s t r i n g > < / k e y > < v a l u e > < i n t > 5 7 < / i n t > < / v a l u e > < / i t e m > < i t e m > < k e y > < s t r i n g > a d d r e s s _ s t a t e < / s t r i n g > < / k e y > < v a l u e > < i n t > 1 5 1 < / i n t > < / v a l u e > < / i t e m > < i t e m > < k e y > < s t r i n g > a p p l i c a t i o n _ t y p e < / s t r i n g > < / k e y > < v a l u e > < i n t > 1 7 1 < / i n t > < / v a l u e > < / i t e m > < i t e m > < k e y > < s t r i n g > e m p _ l e n g t h < / s t r i n g > < / k e y > < v a l u e > < i n t > 1 3 4 < / i n t > < / v a l u e > < / i t e m > < i t e m > < k e y > < s t r i n g > e m p _ t i t l e < / s t r i n g > < / k e y > < v a l u e > < i n t > 1 1 6 < / i n t > < / v a l u e > < / i t e m > < i t e m > < k e y > < s t r i n g > g r a d e < / s t r i n g > < / k e y > < v a l u e > < i n t > 8 7 < / i n t > < / v a l u e > < / i t e m > < i t e m > < k e y > < s t r i n g > s u b _ g r a d e < / s t r i n g > < / k e y > < v a l u e > < i n t > 1 2 4 < / i n t > < / v a l u e > < / i t e m > < i t e m > < k e y > < s t r i n g > h o m e _ o w n e r s h i p < / s t r i n g > < / k e y > < v a l u e > < i n t > 1 7 8 < / i n t > < / v a l u e > < / i t e m > < i t e m > < k e y > < s t r i n g > i s s u e _ d a t e < / s t r i n g > < / k e y > < v a l u e > < i n t > 1 2 5 < / i n t > < / v a l u e > < / i t e m > < i t e m > < k e y > < s t r i n g > l a s t _ c r e d i t _ p u l l _ d a t e < / s t r i n g > < / k e y > < v a l u e > < i n t > 2 0 3 < / i n t > < / v a l u e > < / i t e m > < i t e m > < k e y > < s t r i n g > l a s t _ p a y m e n t _ d a t e < / s t r i n g > < / k e y > < v a l u e > < i n t > 1 9 0 < / i n t > < / v a l u e > < / i t e m > < i t e m > < k e y > < s t r i n g > l o a n _ s t a t u s < / s t r i n g > < / k e y > < v a l u e > < i n t > 1 3 2 < / i n t > < / v a l u e > < / i t e m > < i t e m > < k e y > < s t r i n g > L o a n   Q u a l i t y < / s t r i n g > < / k e y > < v a l u e > < i n t > 1 3 9 < / i n t > < / v a l u e > < / i t e m > < i t e m > < k e y > < s t r i n g > n e x t _ p a y m e n t _ d a t e < / s t r i n g > < / k e y > < v a l u e > < i n t > 1 9 6 < / i n t > < / v a l u e > < / i t e m > < i t e m > < k e y > < s t r i n g > m e m b e r _ i d < / s t r i n g > < / k e y > < v a l u e > < i n t > 1 3 1 < / i n t > < / v a l u e > < / i t e m > < i t e m > < k e y > < s t r i n g > p u r p o s e < / s t r i n g > < / k e y > < v a l u e > < i n t > 1 0 7 < / i n t > < / v a l u e > < / i t e m > < i t e m > < k e y > < s t r i n g > v e r i f i c a t i o n _ s t a t u s < / s t r i n g > < / k e y > < v a l u e > < i n t > 1 8 6 < / i n t > < / v a l u e > < / i t e m > < i t e m > < k e y > < s t r i n g > t e r m _ m o n t h s < / s t r i n g > < / k e y > < v a l u e > < i n t > 1 4 8 < / i n t > < / v a l u e > < / i t e m > < i t e m > < k e y > < s t r i n g > a n n u a l _ i n c o m e < / s t r i n g > < / k e y > < v a l u e > < i n t > 1 6 0 < / i n t > < / v a l u e > < / i t e m > < i t e m > < k e y > < s t r i n g > d t i < / s t r i n g > < / k e y > < v a l u e > < i n t > 6 4 < / i n t > < / v a l u e > < / i t e m > < i t e m > < k e y > < s t r i n g > i n s t a l l m e n t < / s t r i n g > < / k e y > < v a l u e > < i n t > 1 2 8 < / i n t > < / v a l u e > < / i t e m > < i t e m > < k e y > < s t r i n g > i n t _ r a t e < / s t r i n g > < / k e y > < v a l u e > < i n t > 1 0 3 < / i n t > < / v a l u e > < / i t e m > < i t e m > < k e y > < s t r i n g > l o a n _ a m o u n t < / s t r i n g > < / k e y > < v a l u e > < i n t > 1 4 5 < / i n t > < / v a l u e > < / i t e m > < i t e m > < k e y > < s t r i n g > t o t a l _ a c c < / s t r i n g > < / k e y > < v a l u e > < i n t > 1 1 2 < / i n t > < / v a l u e > < / i t e m > < i t e m > < k e y > < s t r i n g > t o t a l _ p a y m e n t < / s t r i n g > < / k e y > < v a l u e > < i n t > 1 5 5 < / i n t > < / v a l u e > < / i t e m > < i t e m > < k e y > < s t r i n g > D T I   F l a g < / s t r i n g > < / k e y > < v a l u e > < i n t > 1 0 5 < / i n t > < / v a l u e > < / i t e m > < i t e m > < k e y > < s t r i n g > e x p e c t e d _ t o t a l _ p a y m e n t < / s t r i n g > < / k e y > < v a l u e > < i n t > 2 3 3 < / i n t > < / v a l u e > < / i t e m > < i t e m > < k e y > < s t r i n g > i s s u e _ d a t e   ( M o n t h   I n d e x ) < / s t r i n g > < / k e y > < v a l u e > < i n t > 2 4 0 < / i n t > < / v a l u e > < / i t e m > < i t e m > < k e y > < s t r i n g > i s s u e _ d a t e   ( M o n t h ) < / s t r i n g > < / k e y > < v a l u e > < i n t > 1 9 3 < / i n t > < / v a l u e > < / i t e m > < i t e m > < k e y > < s t r i n g > u n e m p l o y m e n t _ r a t e < / s t r i n g > < / k e y > < v a l u e > < i n t > 1 9 9 < / i n t > < / v a l u e > < / i t e m > < i t e m > < k e y > < s t r i n g > s t a t e _ u n e m p l o y m e n t _ f l a g < / s t r i n g > < / k e y > < v a l u e > < i n t > 1 9 9 < / i n t > < / v a l u e > < / i t e m > < i t e m > < k e y > < s t r i n g > R i s k F l a g < / s t r i n g > < / k e y > < v a l u e > < i n t > 1 9 9 < / i n t > < / v a l u e > < / i t e m > < i t e m > < k e y > < s t r i n g > D u p l i c a t e _ F l a g < / s t r i n g > < / k e y > < v a l u e > < i n t > 1 9 9 < / i n t > < / v a l u e > < / i t e m > < i t e m > < k e y > < s t r i n g > f r a u d _ d e t e c t i o n _ f l a g < / s t r i n g > < / k e y > < v a l u e > < i n t > 1 9 9 < / i n t > < / v a l u e > < / i t e m > < i t e m > < k e y > < s t r i n g > o w n e r s h i p _ f l a g < / s t r i n g > < / k e y > < v a l u e > < i n t > 1 9 9 < / i n t > < / v a l u e > < / i t e m > < i t e m > < k e y > < s t r i n g > u n d e r p a i d _ l o a n s _ f l a g < / s t r i n g > < / k e y > < v a l u e > < i n t > 1 9 9 < / i n t > < / v a l u e > < / i t e m > < i t e m > < k e y > < s t r i n g > b o r r o w e r _ e x p e r i e n c e _ f l a g < / s t r i n g > < / k e y > < v a l u e > < i n t > 1 9 9 < / i n t > < / v a l u e > < / i t e m > < i t e m > < k e y > < s t r i n g > r e p a y m e n t _ e f f i c i e n c y _ r a t i o < / s t r i n g > < / k e y > < v a l u e > < i n t > 1 9 9 < / i n t > < / v a l u e > < / i t e m > < i t e m > < k e y > < s t r i n g > r e p a y m e n t _ e f f i c i e n c y _ f l a g < / s t r i n g > < / k e y > < v a l u e > < i n t > 1 9 9 < / i n t > < / v a l u e > < / i t e m > < i t e m > < k e y > < s t r i n g > S t a t e _ N a m e < / s t r i n g > < / k e y > < v a l u e > < i n t > 1 9 9 < / i n t > < / v a l u e > < / i t e m > < / C o l u m n W i d t h s > < C o l u m n D i s p l a y I n d e x > < i t e m > < k e y > < s t r i n g > i d < / s t r i n g > < / k e y > < v a l u e > < i n t > 0 < / i n t > < / v a l u e > < / i t e m > < i t e m > < k e y > < s t r i n g > a d d r e s s _ s t a t e < / s t r i n g > < / k e y > < v a l u e > < i n t > 1 < / i n t > < / v a l u e > < / i t e m > < i t e m > < k e y > < s t r i n g > a p p l i c a t i o n _ t y p e < / s t r i n g > < / k e y > < v a l u e > < i n t > 3 < / i n t > < / v a l u e > < / i t e m > < i t e m > < k e y > < s t r i n g > e m p _ l e n g t h < / s t r i n g > < / k e y > < v a l u e > < i n t > 4 < / i n t > < / v a l u e > < / i t e m > < i t e m > < k e y > < s t r i n g > e m p _ t i t l e < / s t r i n g > < / k e y > < v a l u e > < i n t > 5 < / i n t > < / v a l u e > < / i t e m > < i t e m > < k e y > < s t r i n g > g r a d e < / s t r i n g > < / k e y > < v a l u e > < i n t > 6 < / i n t > < / v a l u e > < / i t e m > < i t e m > < k e y > < s t r i n g > s u b _ g r a d e < / s t r i n g > < / k e y > < v a l u e > < i n t > 7 < / i n t > < / v a l u e > < / i t e m > < i t e m > < k e y > < s t r i n g > h o m e _ o w n e r s h i p < / s t r i n g > < / k e y > < v a l u e > < i n t > 8 < / i n t > < / v a l u e > < / i t e m > < i t e m > < k e y > < s t r i n g > i s s u e _ d a t e < / s t r i n g > < / k e y > < v a l u e > < i n t > 9 < / i n t > < / v a l u e > < / i t e m > < i t e m > < k e y > < s t r i n g > l a s t _ c r e d i t _ p u l l _ d a t e < / s t r i n g > < / k e y > < v a l u e > < i n t > 1 0 < / i n t > < / v a l u e > < / i t e m > < i t e m > < k e y > < s t r i n g > l a s t _ p a y m e n t _ d a t e < / s t r i n g > < / k e y > < v a l u e > < i n t > 1 1 < / i n t > < / v a l u e > < / i t e m > < i t e m > < k e y > < s t r i n g > l o a n _ s t a t u s < / s t r i n g > < / k e y > < v a l u e > < i n t > 1 2 < / i n t > < / v a l u e > < / i t e m > < i t e m > < k e y > < s t r i n g > L o a n   Q u a l i t y < / s t r i n g > < / k e y > < v a l u e > < i n t > 1 3 < / i n t > < / v a l u e > < / i t e m > < i t e m > < k e y > < s t r i n g > n e x t _ p a y m e n t _ d a t e < / s t r i n g > < / k e y > < v a l u e > < i n t > 1 4 < / i n t > < / v a l u e > < / i t e m > < i t e m > < k e y > < s t r i n g > m e m b e r _ i d < / s t r i n g > < / k e y > < v a l u e > < i n t > 1 5 < / i n t > < / v a l u e > < / i t e m > < i t e m > < k e y > < s t r i n g > p u r p o s e < / s t r i n g > < / k e y > < v a l u e > < i n t > 1 6 < / i n t > < / v a l u e > < / i t e m > < i t e m > < k e y > < s t r i n g > v e r i f i c a t i o n _ s t a t u s < / s t r i n g > < / k e y > < v a l u e > < i n t > 1 7 < / i n t > < / v a l u e > < / i t e m > < i t e m > < k e y > < s t r i n g > t e r m _ m o n t h s < / s t r i n g > < / k e y > < v a l u e > < i n t > 1 8 < / i n t > < / v a l u e > < / i t e m > < i t e m > < k e y > < s t r i n g > a n n u a l _ i n c o m e < / s t r i n g > < / k e y > < v a l u e > < i n t > 1 9 < / i n t > < / v a l u e > < / i t e m > < i t e m > < k e y > < s t r i n g > d t i < / s t r i n g > < / k e y > < v a l u e > < i n t > 2 0 < / i n t > < / v a l u e > < / i t e m > < i t e m > < k e y > < s t r i n g > i n s t a l l m e n t < / s t r i n g > < / k e y > < v a l u e > < i n t > 2 1 < / i n t > < / v a l u e > < / i t e m > < i t e m > < k e y > < s t r i n g > i n t _ r a t e < / s t r i n g > < / k e y > < v a l u e > < i n t > 2 2 < / i n t > < / v a l u e > < / i t e m > < i t e m > < k e y > < s t r i n g > l o a n _ a m o u n t < / s t r i n g > < / k e y > < v a l u e > < i n t > 2 3 < / i n t > < / v a l u e > < / i t e m > < i t e m > < k e y > < s t r i n g > t o t a l _ a c c < / s t r i n g > < / k e y > < v a l u e > < i n t > 2 4 < / i n t > < / v a l u e > < / i t e m > < i t e m > < k e y > < s t r i n g > t o t a l _ p a y m e n t < / s t r i n g > < / k e y > < v a l u e > < i n t > 2 5 < / i n t > < / v a l u e > < / i t e m > < i t e m > < k e y > < s t r i n g > D T I   F l a g < / s t r i n g > < / k e y > < v a l u e > < i n t > 2 8 < / i n t > < / v a l u e > < / i t e m > < i t e m > < k e y > < s t r i n g > e x p e c t e d _ t o t a l _ p a y m e n t < / s t r i n g > < / k e y > < v a l u e > < i n t > 2 6 < / i n t > < / v a l u e > < / i t e m > < i t e m > < k e y > < s t r i n g > i s s u e _ d a t e   ( M o n t h   I n d e x ) < / s t r i n g > < / k e y > < v a l u e > < i n t > 2 7 < / i n t > < / v a l u e > < / i t e m > < i t e m > < k e y > < s t r i n g > i s s u e _ d a t e   ( M o n t h ) < / s t r i n g > < / k e y > < v a l u e > < i n t > 2 9 < / i n t > < / v a l u e > < / i t e m > < i t e m > < k e y > < s t r i n g > u n e m p l o y m e n t _ r a t e < / s t r i n g > < / k e y > < v a l u e > < i n t > 3 0 < / i n t > < / v a l u e > < / i t e m > < i t e m > < k e y > < s t r i n g > s t a t e _ u n e m p l o y m e n t _ f l a g < / s t r i n g > < / k e y > < v a l u e > < i n t > 3 1 < / i n t > < / v a l u e > < / i t e m > < i t e m > < k e y > < s t r i n g > R i s k F l a g < / s t r i n g > < / k e y > < v a l u e > < i n t > 3 2 < / i n t > < / v a l u e > < / i t e m > < i t e m > < k e y > < s t r i n g > D u p l i c a t e _ F l a g < / s t r i n g > < / k e y > < v a l u e > < i n t > 3 3 < / i n t > < / v a l u e > < / i t e m > < i t e m > < k e y > < s t r i n g > f r a u d _ d e t e c t i o n _ f l a g < / s t r i n g > < / k e y > < v a l u e > < i n t > 3 5 < / i n t > < / v a l u e > < / i t e m > < i t e m > < k e y > < s t r i n g > o w n e r s h i p _ f l a g < / s t r i n g > < / k e y > < v a l u e > < i n t > 3 4 < / i n t > < / v a l u e > < / i t e m > < i t e m > < k e y > < s t r i n g > u n d e r p a i d _ l o a n s _ f l a g < / s t r i n g > < / k e y > < v a l u e > < i n t > 3 6 < / i n t > < / v a l u e > < / i t e m > < i t e m > < k e y > < s t r i n g > b o r r o w e r _ e x p e r i e n c e _ f l a g < / s t r i n g > < / k e y > < v a l u e > < i n t > 3 7 < / i n t > < / v a l u e > < / i t e m > < i t e m > < k e y > < s t r i n g > r e p a y m e n t _ e f f i c i e n c y _ r a t i o < / s t r i n g > < / k e y > < v a l u e > < i n t > 3 8 < / i n t > < / v a l u e > < / i t e m > < i t e m > < k e y > < s t r i n g > r e p a y m e n t _ e f f i c i e n c y _ f l a g < / s t r i n g > < / k e y > < v a l u e > < i n t > 3 9 < / i n t > < / v a l u e > < / i t e m > < i t e m > < k e y > < s t r i n g > S t a t e _ N a m e < / s t r i n g > < / k e y > < v a l u e > < i n t > 2 < / i n t > < / v a l u e > < / i t e m > < / C o l u m n D i s p l a y I n d e x > < C o l u m n F r o z e n   / > < C o l u m n C h e c k e d   / > < C o l u m n F i l t e r > < i t e m > < k e y > < s t r i n g > R i s k F l a g < / s t r i n g > < / k e y > < v a l u e > < F i l t e r E x p r e s s i o n   x s i : n i l = " t r u e "   / > < / v a l u e > < / i t e m > < i t e m > < k e y > < s t r i n g > e m p _ t i t l e < / s t r i n g > < / k e y > < v a l u e > < F i l t e r E x p r e s s i o n   x s i : n i l = " t r u e "   / > < / v a l u e > < / i t e m > < i t e m > < k e y > < s t r i n g > f r a u d _ d e t e c t i o n _ f l a g < / s t r i n g > < / k e y > < v a l u e > < F i l t e r E x p r e s s i o n   x s i : n i l = " t r u e "   / > < / v a l u e > < / i t e m > < i t e m > < k e y > < s t r i n g > h o m e _ o w n e r s h i p < / s t r i n g > < / k e y > < v a l u e > < F i l t e r E x p r e s s i o n   x s i : n i l = " t r u e "   / > < / v a l u e > < / i t e m > < i t e m > < k e y > < s t r i n g > o w n e r s h i p _ f l a g < / s t r i n g > < / k e y > < v a l u e > < F i l t e r E x p r e s s i o n   x s i : n i l = " t r u e "   / > < / v a l u e > < / i t e m > < i t e m > < k e y > < s t r i n g > l o a n _ s t a t u s < / s t r i n g > < / k e y > < v a l u e > < F i l t e r E x p r e s s i o n   x s i : n i l = " t r u e "   / > < / v a l u e > < / i t e m > < i t e m > < k e y > < s t r i n g > u n d e r p a i d _ l o a n s _ f l a g < / s t r i n g > < / k e y > < v a l u e > < F i l t e r E x p r e s s i o n   x s i : n i l = " t r u e "   / > < / v a l u e > < / i t e m > < i t e m > < k e y > < s t r i n g > t o t a l _ a c c < / s t r i n g > < / k e y > < v a l u e > < F i l t e r E x p r e s s i o n   x s i : n i l = " t r u e "   / > < / v a l u e > < / i t e m > < i t e m > < k e y > < s t r i n g > r e p a y m e n t _ e f f i c i e n c y _ f l a g < / s t r i n g > < / k e y > < v a l u e > < F i l t e r E x p r e s s i o n   x s i : n i l = " t r u e "   / > < / v a l u e > < / i t e m > < i t e m > < k e y > < s t r i n g > a d d r e s s _ s t a t e < / s t r i n g > < / k e y > < v a l u e > < F i l t e r E x p r e s s i o n   x s i : n i l = " t r u e "   / > < / v a l u e > < / i t e m > < / C o l u m n F i l t e r > < S e l e c t i o n F i l t e r > < i t e m > < k e y > < s t r i n g > R i s k F l a g < / s t r i n g > < / k e y > < v a l u e > < S e l e c t i o n F i l t e r   x s i : n i l = " t r u e "   / > < / v a l u e > < / i t e m > < i t e m > < k e y > < s t r i n g > e m p _ t i t l e < / s t r i n g > < / k e y > < v a l u e > < S e l e c t i o n F i l t e r   x s i : n i l = " t r u e "   / > < / v a l u e > < / i t e m > < i t e m > < k e y > < s t r i n g > f r a u d _ d e t e c t i o n _ f l a g < / s t r i n g > < / k e y > < v a l u e > < S e l e c t i o n F i l t e r   x s i : n i l = " t r u e "   / > < / v a l u e > < / i t e m > < i t e m > < k e y > < s t r i n g > h o m e _ o w n e r s h i p < / s t r i n g > < / k e y > < v a l u e > < S e l e c t i o n F i l t e r   x s i : n i l = " t r u e "   / > < / v a l u e > < / i t e m > < i t e m > < k e y > < s t r i n g > o w n e r s h i p _ f l a g < / s t r i n g > < / k e y > < v a l u e > < S e l e c t i o n F i l t e r   x s i : n i l = " t r u e "   / > < / v a l u e > < / i t e m > < i t e m > < k e y > < s t r i n g > l o a n _ s t a t u s < / s t r i n g > < / k e y > < v a l u e > < S e l e c t i o n F i l t e r   x s i : n i l = " t r u e "   / > < / v a l u e > < / i t e m > < i t e m > < k e y > < s t r i n g > u n d e r p a i d _ l o a n s _ f l a g < / s t r i n g > < / k e y > < v a l u e > < S e l e c t i o n F i l t e r   x s i : n i l = " t r u e "   / > < / v a l u e > < / i t e m > < i t e m > < k e y > < s t r i n g > t o t a l _ a c c < / s t r i n g > < / k e y > < v a l u e > < S e l e c t i o n F i l t e r   x s i : n i l = " t r u e "   / > < / v a l u e > < / i t e m > < i t e m > < k e y > < s t r i n g > r e p a y m e n t _ e f f i c i e n c y _ f l a g < / s t r i n g > < / k e y > < v a l u e > < S e l e c t i o n F i l t e r   x s i : n i l = " t r u e "   / > < / v a l u e > < / i t e m > < i t e m > < k e y > < s t r i n g > a d d r e s s _ s t a t e < / s t r i n g > < / k e y > < v a l u e > < S e l e c t i o n F i l t e r   x s i : n i l = " t r u e "   / > < / v a l u e > < / i t e m > < / S e l e c t i o n F i l t e r > < F i l t e r P a r a m e t e r s > < i t e m > < k e y > < s t r i n g > R i s k F l a g < / s t r i n g > < / k e y > < v a l u e > < C o m m a n d P a r a m e t e r s   / > < / v a l u e > < / i t e m > < i t e m > < k e y > < s t r i n g > e m p _ t i t l e < / s t r i n g > < / k e y > < v a l u e > < C o m m a n d P a r a m e t e r s   / > < / v a l u e > < / i t e m > < i t e m > < k e y > < s t r i n g > f r a u d _ d e t e c t i o n _ f l a g < / s t r i n g > < / k e y > < v a l u e > < C o m m a n d P a r a m e t e r s   / > < / v a l u e > < / i t e m > < i t e m > < k e y > < s t r i n g > h o m e _ o w n e r s h i p < / s t r i n g > < / k e y > < v a l u e > < C o m m a n d P a r a m e t e r s   / > < / v a l u e > < / i t e m > < i t e m > < k e y > < s t r i n g > o w n e r s h i p _ f l a g < / s t r i n g > < / k e y > < v a l u e > < C o m m a n d P a r a m e t e r s   / > < / v a l u e > < / i t e m > < i t e m > < k e y > < s t r i n g > l o a n _ s t a t u s < / s t r i n g > < / k e y > < v a l u e > < C o m m a n d P a r a m e t e r s   / > < / v a l u e > < / i t e m > < i t e m > < k e y > < s t r i n g > u n d e r p a i d _ l o a n s _ f l a g < / s t r i n g > < / k e y > < v a l u e > < C o m m a n d P a r a m e t e r s   / > < / v a l u e > < / i t e m > < i t e m > < k e y > < s t r i n g > t o t a l _ a c c < / s t r i n g > < / k e y > < v a l u e > < C o m m a n d P a r a m e t e r s   / > < / v a l u e > < / i t e m > < i t e m > < k e y > < s t r i n g > r e p a y m e n t _ e f f i c i e n c y _ f l a g < / s t r i n g > < / k e y > < v a l u e > < C o m m a n d P a r a m e t e r s   / > < / v a l u e > < / i t e m > < i t e m > < k e y > < s t r i n g > a d d r e s s _ s t a t e < / s t r i n g > < / k e y > < v a l u e > < C o m m a n d P a r a m e t e r s   / > < / v a l u e > < / i t e m > < / F i l t e r P a r a m e t e r s > < S o r t B y C o l u m n   / > < I s S o r t D e s c e n d i n g > f a l s e < / I s S o r t D e s c e n d i n g > < / T a b l e W i d g e t G r i d S e r i a l i z a t i o n > ] ] > < / C u s t o m C o n t e n t > < / G e m i n i > 
</file>

<file path=customXml/item10.xml>��< ? x m l   v e r s i o n = " 1 . 0 "   e n c o d i n g = " U T F - 1 6 " ? > < G e m i n i   x m l n s = " h t t p : / / g e m i n i / p i v o t c u s t o m i z a t i o n / T a b l e O r d e r " > < C u s t o m C o n t e n t > < ! [ C D A T A [ r a w _ d a t a _ 2 e 4 c 7 2 6 b - 6 c 3 9 - 4 a 9 b - 9 b e f - 7 3 e 3 c 3 6 4 a 8 f 2 , u n e m p l y o m e n t _ r a t e _ 9 b f c 8 2 d c - 8 9 e 2 - 4 3 c 5 - 8 4 9 c - 1 c 3 c 2 2 8 0 a 6 d b , b a n k _ l o a n _ d a t a _ 0 e 5 9 4 7 5 4 - 0 c 8 0 - 4 5 9 f - 9 0 9 2 - 1 2 6 f 0 e 5 3 1 8 8 8 ] ] > < / C u s t o m C o n t e n t > < / G e m i n i > 
</file>

<file path=customXml/item11.xml>��< ? x m l   v e r s i o n = " 1 . 0 "   e n c o d i n g = " U T F - 1 6 " ? > < G e m i n i   x m l n s = " h t t p : / / g e m i n i / p i v o t c u s t o m i z a t i o n / I s S a n d b o x E m b e d d e d " > < C u s t o m C o n t e n t > < ! [ C D A T A [ y e s ] ] > < / C u s t o m C o n t e n t > < / G e m i n i > 
</file>

<file path=customXml/item12.xml>��< ? x m l   v e r s i o n = " 1 . 0 "   e n c o d i n g = " U T F - 1 6 " ? > < G e m i n i   x m l n s = " h t t p : / / g e m i n i / p i v o t c u s t o m i z a t i o n / a 3 e 5 c e f 5 - 1 6 8 3 - 4 8 2 0 - b d b 4 - c 4 e 6 7 c 2 3 e 3 4 0 " > < 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C a l c u l a t e d F i e l d s > < S A H o s t H a s h > 0 < / S A H o s t H a s h > < G e m i n i F i e l d L i s t V i s i b l e > T r u e < / G e m i n i F i e l d L i s t V i s i b l e > < / S e t t i n g s > ] ] > < / C u s t o m C o n t e n t > < / G e m i n i > 
</file>

<file path=customXml/item13.xml>��< ? x m l   v e r s i o n = " 1 . 0 "   e n c o d i n g = " U T F - 1 6 " ? > < G e m i n i   x m l n s = " h t t p : / / g e m i n i / p i v o t c u s t o m i z a t i o n / M a n u a l C a l c M o d e " > < C u s t o m C o n t e n t > < ! [ C D A T A [ F a l s e ] ] > < / C u s t o m C o n t e n t > < / G e m i n i > 
</file>

<file path=customXml/item14.xml>��< ? x m l   v e r s i o n = " 1 . 0 "   e n c o d i n g = " U T F - 1 6 " ? > < G e m i n i   x m l n s = " h t t p : / / g e m i n i / p i v o t c u s t o m i z a t i o n / a 4 d f e 6 8 c - 3 5 6 9 - 4 4 0 c - 9 7 9 1 - 8 a 4 0 6 b 9 f 8 e 4 a " > < 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15.xml>��< ? x m l   v e r s i o n = " 1 . 0 "   e n c o d i n g = " U T F - 1 6 " ? > < G e m i n i   x m l n s = " h t t p : / / g e m i n i / p i v o t c u s t o m i z a t i o n / 3 e b 3 6 9 c 6 - 2 6 5 f - 4 e 7 f - a 4 a 3 - 3 6 b 7 d 7 b c f 7 0 f " > < 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C a l c u l a t e d F i e l d s > < S A H o s t H a s h > 0 < / S A H o s t H a s h > < G e m i n i F i e l d L i s t V i s i b l e > T r u e < / G e m i n i F i e l d L i s t V i s i b l e > < / S e t t i n g s > ] ] > < / C u s t o m C o n t e n t > < / G e m i n i > 
</file>

<file path=customXml/item16.xml>��< ? x m l   v e r s i o n = " 1 . 0 "   e n c o d i n g = " u t f - 1 6 " ? > < D a t a M a s h u p   s q m i d = " e 0 c 7 7 9 a 9 - a 1 6 b - 4 e 0 8 - 9 b 7 f - b 6 2 4 5 e f f b 3 8 a "   x m l n s = " h t t p : / / s c h e m a s . m i c r o s o f t . c o m / D a t a M a s h u p " > A A A A A E I H A A B Q S w M E F A A C A A g A E Z e l W g L j Q 9 G n A A A A 9 w A A A B I A H A B D b 2 5 m a W c v U G F j a 2 F n Z S 5 4 b W w g o h g A K K A U A A A A A A A A A A A A A A A A A A A A A A A A A A A A e 7 9 7 v 4 1 9 R W 6 O Q l l q U X F m f p 6 t k q G e g Z J C c U l i X k p i T n 5 e q q 1 S X r 6 S v R 0 v l 0 1 A Y n J 2 Y n q q A l B 1 X r F V R X G K r V J G S U m B l b 5 + e X m 5 X r m x X n 5 R u r 6 R g Y G h f o S v T 3 B y R m p u o h J c c S Z h x b q Z e S B r k 1 O V 7 G z C I K 6 x M 9 I z N D H U M z M w 0 j O w 0 Y c J 2 v h m 5 i E U G A E d D J J F E r R x L s 0 p K S 1 K t U v N 0 / X 0 s 9 G H c W 3 0 o X 6 w A w B Q S w M E F A A C A A g A E Z e l W 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B G X p V r r 8 Y E g Q g Q A A L U P A A A T A B w A R m 9 y b X V s Y X M v U 2 V j d G l v b j E u b S C i G A A o o B Q A A A A A A A A A A A A A A A A A A A A A A A A A A A D F V t 9 v 2 z Y Q f g / Q / 4 F g X 5 z B M 5 p s 6 8 M 2 P z R J s w b b i r T x s A f b E G j p b H O h S I G k W h t G / v c e K c m i f q 1 r 0 m J + s X j H u / v u e P e R B m L L l S R 3 x f / Z L y c n Z s s 0 J E S z j 1 H C L C N T I s A + O y H 4 u 1 O 5 j g E l 1 0 o k o C f X X I A Z 0 c u f F 3 e 5 l P u F X y 9 e 7 2 I Q i 7 / k J u c J O r r V 6 h / 0 v r h g 8 p 7 8 o Z h c V K 7 p 6 b M T L k P X d f h c Q p o J t U 9 B 2 k g z C 7 0 4 K k / j Q v 7 8 0 V A W U R n w G C 8 6 f 3 F + R n b C 7 C g G K i I e 5 s 9 p k T q 5 Z X Z L p 4 + P R 8 d v W Q p T 2 s n T x 5 3 4 u M u H + a W S F j X L Y 4 I 3 a a a 0 R d 8 + F P l b 6 f u V U v c O o 5 d M K s n o G x X j t I T S B X 6 3 B b C I Y x j k Y X 5 j I e 1 J m o 5 / 5 z K Z U u / C 5 X 2 F M O q k E W q q n L 8 3 w L D 4 x m U 7 Y y s B k 1 J T y k c D o M Z k X m 5 8 J c R d z A T T Z m p 1 D s v T u n O 2 T G 4 w x G y f Q e 1 / p p k 0 a 6 X T S y X y V D q l G f U A G h 8 O 1 F g X k K 1 W G j 5 w 5 s a J j o l F C 2 J h Z x / G 5 E D d m X e E r r a V U O b p C v T D Q 4 3 r P U g 0 S k g B I E i 9 U J T i U S s B h 6 f 0 2 1 N t 9 F 9 P X j d E P Y U r 7 I 1 I Y G 8 M U 8 F X H M E 6 G s q + / e g 1 w v 3 f E 9 e T e 9 U D 7 3 G T m 4 c v G L D K 5 G v N V R P C f x m n V 0 n i O 0 o m 3 E 0 C E 2 V 3 + b z J u 5 w J b v f Y X w Z 3 4 f 3 j M 3 c D l A c g 0 E d h 1 D t x h I a u c A 0 s 3 h K + J v P A 2 R K d 0 e t c i D 2 2 D U 8 o s V u Q h P 6 m V O K R U A L C Q K / V Z a 4 1 N s K Q C b 1 g 5 T q c V a U R X D 1 K 5 H u S a T D o B p J m 5 m x t s Z V 7 0 y 6 9 1 J P 9 h F q O D x S z x l q x J E E g x s v B C 7 J M 8 N j T V G Q 9 Z R C K P B E J k B u c r 3 J l u R V e t d F Y d v d h 8 l V 0 X G z x i o j U R 4 k H s u W Z k 3 B j c n A 9 7 f W C G R v F W B B u o w x P o a n I W M F J R 2 E I v H O 8 V C J h d m x S c I Q Z F U l m u c 6 U 8 f I P o P m 6 y q / 2 i U V P f f Z S o u O I y 1 h 5 R q a J 5 R 6 + x L 1 C u B D F s r q f S n Q s V X m h s g o 3 R i y O 6 0 W J j Q b s / X p n N Y v d 6 c 8 Q P b k A v E u A X I H g K X c N s M a 2 J j + 8 J C m y z t Y Q q 3 A x e P u 4 X n h S i + F t c 6 h K 4 K f F g Z o U o I 6 Y R p E r K 3 Z 1 c E 0 F G c 0 0 T 1 O f j 0 5 L D P 8 K + F E V G N c 4 P U Q X d A B P 6 / J y D p x l V P g b v i 7 7 8 g j C 0 t B J G O + L 3 g m f A V f F O 6 7 J j b Q v f 5 w 4 8 z D m E A H 0 U 2 X z I U D o G 7 7 Z k q v Z D b k W b B P y J P b 8 k v w 6 J S 8 m Z z + V L P c W U 2 A i Y M V 6 z 3 m 1 5 0 8 c 5 z y t a N B 5 p x 2 o u b E q 7 Y c 3 m I y j n F 0 G r l e i 5 k C V m O d B r Z b f z Y N Z H X j H E b U m u I P E 7 b f T w H E 1 w L v D 8 b Q S n I l 7 r o W 0 2 H z I N b j P q 9 y 3 V w 0 R Y c + u F s M 1 d 7 Q 4 s R m / j y C b 5 i F b t t J q M 2 J x / c X 7 e k d B k b e A r z F p 2 Q Z q T Z M 1 u 5 Y B j f a Z N 5 m 1 a x 5 S b Q t 1 u 0 + 6 x u 3 u b 5 Z s s O G a j p 7 6 H m 8 3 o u u t N j B 6 / P 7 c 8 / w T U E s B A i 0 A F A A C A A g A E Z e l W g L j Q 9 G n A A A A 9 w A A A B I A A A A A A A A A A A A A A A A A A A A A A E N v b m Z p Z y 9 Q Y W N r Y W d l L n h t b F B L A Q I t A B Q A A g A I A B G X p V p T c j g s m w A A A O E A A A A T A A A A A A A A A A A A A A A A A P M A A A B b Q 2 9 u d G V u d F 9 U e X B l c 1 0 u e G 1 s U E s B A i 0 A F A A C A A g A E Z e l W u v x g S B C B A A A t Q 8 A A B M A A A A A A A A A A A A A A A A A 2 w E A A E Z v c m 1 1 b G F z L 1 N l Y 3 R p b 2 4 x L m 1 Q S w U G A A A A A A M A A w D C A A A A a g 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K D k A A A A A A A A G O Q 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c m F 3 X 2 R h d G E 8 L 0 l 0 Z W 1 Q Y X R o P j w v S X R l b U x v Y 2 F 0 a W 9 u P j x T d G F i b G V F b n R y a W V z P j x F b n R y e S B U e X B l P S J B Z G R l Z F R v R G F 0 Y U 1 v Z G V s I i B W Y W x 1 Z T 0 i b D E i I C 8 + P E V u d H J 5 I F R 5 c G U 9 I k J 1 Z m Z l c k 5 l e H R S Z W Z y Z X N o I i B W Y W x 1 Z T 0 i b D E i I C 8 + P E V u d H J 5 I F R 5 c G U 9 I k Z p b G x D b 3 V u d C I g V m F s d W U 9 I m w y I i A v P j x F b n R y e S B U e X B l P S J G a W x s R W 5 h Y m x l Z C I g V m F s d W U 9 I m w w I i A v P j x F b n R y e S B U e X B l P S J G a W x s R X J y b 3 J D b 2 R l I i B W Y W x 1 Z T 0 i c 1 V u a 2 5 v d 2 4 i I C 8 + P E V u d H J 5 I F R 5 c G U 9 I k Z p b G x F c n J v c k N v d W 5 0 I i B W Y W x 1 Z T 0 i b D A i I C 8 + P E V u d H J 5 I F R 5 c G U 9 I k Z p b G x M Y X N 0 V X B k Y X R l Z C I g V m F s d W U 9 I m Q y M D I 1 L T A 1 L T A y V D A 5 O j A y O j I 2 L j c y O T k 1 M z B a I i A v P j x F b n R y e S B U e X B l P S J G a W x s Q 2 9 s d W 1 u V H l w Z X M i I F Z h b H V l P S J z R U F Z R 0 J 3 Y 0 h C Z z 0 9 I i A v P j x F b n R y e S B U e X B l P S J G a W x s Q 2 9 s d W 1 u T m F t Z X M i I F Z h b H V l P S J z W y Z x d W 9 0 O 0 N v b n R l b n Q m c X V v d D s s J n F 1 b 3 Q 7 T m F t Z S Z x d W 9 0 O y w m c X V v d D t F e H R l b n N p b 2 4 m c X V v d D s s J n F 1 b 3 Q 7 R G F 0 Z S B h Y 2 N l c 3 N l Z C Z x d W 9 0 O y w m c X V v d D t E Y X R l I G 1 v Z G l m a W V k J n F 1 b 3 Q 7 L C Z x d W 9 0 O 0 R h d G U g Y 3 J l Y X R l Z C Z x d W 9 0 O y w m c X V v d D t G b 2 x k Z X I g U G F 0 a 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k Y j I 0 Y T F l Z i 0 5 M z A w L T R j Y T M t Y j E 1 M C 0 w N T A y N m U 1 M j B j Z T Y i I C 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y Y X d f Z G F 0 Y S 9 T b 3 V y Y 2 U u e 0 N v b n R l b n Q s M H 0 m c X V v d D s s J n F 1 b 3 Q 7 U 2 V j d G l v b j E v c m F 3 X 2 R h d G E v U 2 9 1 c m N l L n t O Y W 1 l L D F 9 J n F 1 b 3 Q 7 L C Z x d W 9 0 O 1 N l Y 3 R p b 2 4 x L 3 J h d 1 9 k Y X R h L 1 N v d X J j Z S 5 7 R X h 0 Z W 5 z a W 9 u L D J 9 J n F 1 b 3 Q 7 L C Z x d W 9 0 O 1 N l Y 3 R p b 2 4 x L 3 J h d 1 9 k Y X R h L 1 N v d X J j Z S 5 7 R G F 0 Z S B h Y 2 N l c 3 N l Z C w z f S Z x d W 9 0 O y w m c X V v d D t T Z W N 0 a W 9 u M S 9 y Y X d f Z G F 0 Y S 9 T b 3 V y Y 2 U u e 0 R h d G U g b W 9 k a W Z p Z W Q s N H 0 m c X V v d D s s J n F 1 b 3 Q 7 U 2 V j d G l v b j E v c m F 3 X 2 R h d G E v U 2 9 1 c m N l L n t E Y X R l I G N y Z W F 0 Z W Q s N X 0 m c X V v d D s s J n F 1 b 3 Q 7 U 2 V j d G l v b j E v c m F 3 X 2 R h d G E v U 2 9 1 c m N l L n t G b 2 x k Z X I g U G F 0 a C w 3 f S Z x d W 9 0 O 1 0 s J n F 1 b 3 Q 7 Q 2 9 s d W 1 u Q 2 9 1 b n Q m c X V v d D s 6 N y w m c X V v d D t L Z X l D b 2 x 1 b W 5 O Y W 1 l c y Z x d W 9 0 O z p b J n F 1 b 3 Q 7 R m 9 s Z G V y I F B h d G g m c X V v d D s s J n F 1 b 3 Q 7 T m F t Z S Z x d W 9 0 O 1 0 s J n F 1 b 3 Q 7 Q 2 9 s d W 1 u S W R l b n R p d G l l c y Z x d W 9 0 O z p b J n F 1 b 3 Q 7 U 2 V j d G l v b j E v c m F 3 X 2 R h d G E v U 2 9 1 c m N l L n t D b 2 5 0 Z W 5 0 L D B 9 J n F 1 b 3 Q 7 L C Z x d W 9 0 O 1 N l Y 3 R p b 2 4 x L 3 J h d 1 9 k Y X R h L 1 N v d X J j Z S 5 7 T m F t Z S w x f S Z x d W 9 0 O y w m c X V v d D t T Z W N 0 a W 9 u M S 9 y Y X d f Z G F 0 Y S 9 T b 3 V y Y 2 U u e 0 V 4 d G V u c 2 l v b i w y f S Z x d W 9 0 O y w m c X V v d D t T Z W N 0 a W 9 u M S 9 y Y X d f Z G F 0 Y S 9 T b 3 V y Y 2 U u e 0 R h d G U g Y W N j Z X N z Z W Q s M 3 0 m c X V v d D s s J n F 1 b 3 Q 7 U 2 V j d G l v b j E v c m F 3 X 2 R h d G E v U 2 9 1 c m N l L n t E Y X R l I G 1 v Z G l m a W V k L D R 9 J n F 1 b 3 Q 7 L C Z x d W 9 0 O 1 N l Y 3 R p b 2 4 x L 3 J h d 1 9 k Y X R h L 1 N v d X J j Z S 5 7 R G F 0 Z S B j c m V h d G V k L D V 9 J n F 1 b 3 Q 7 L C Z x d W 9 0 O 1 N l Y 3 R p b 2 4 x L 3 J h d 1 9 k Y X R h L 1 N v d X J j Z S 5 7 R m 9 s Z G V y I F B h d G g s N 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Y m F u a 1 9 s b 2 F u X 2 R h d G E 8 L 0 l 0 Z W 1 Q Y X R o P j w v S X R l b U x v Y 2 F 0 a W 9 u P j x T d G F i b G V F b n R y a W V z P j x F b n R y e S B U e X B l P S J G a W x s Q 2 9 1 b n Q i I F Z h b H V l P S J s M z g 1 N z Y 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U t M D U t M D N U M D k 6 N D g 6 N D U u N j A x N D A x N V o i I C 8 + P E V u d H J 5 I F R 5 c G U 9 I k Z p b G x D b 2 x 1 b W 5 U e X B l c y I g V m F s d W U 9 I n N B d 1 l H Q m d Z R 0 J n W U p D U W t H Q m d r R E J n W U R F U V F S Q k J F R E V R W V I i I C 8 + P E V u d H J 5 I F R 5 c G U 9 I k Z p b G x l Z E N v b X B s Z X R l U m V z d W x 0 V G 9 X b 3 J r c 2 h l Z X Q i I F Z h b H V l P S J s M C I g L z 4 8 R W 5 0 c n k g V H l w Z T 0 i R m l s b E N v b H V t b k 5 h b W V z I i B W Y W x 1 Z T 0 i c 1 s m c X V v d D t p Z C Z x d W 9 0 O y w m c X V v d D t h Z G R y Z X N z X 3 N 0 Y X R l J n F 1 b 3 Q 7 L C Z x d W 9 0 O 2 F w c G x p Y 2 F 0 a W 9 u X 3 R 5 c G U m c X V v d D s s J n F 1 b 3 Q 7 Z W 1 w X 2 x l b m d 0 a C Z x d W 9 0 O y w m c X V v d D t l b X B f d G l 0 b G U m c X V v d D s s J n F 1 b 3 Q 7 Z 3 J h Z G U m c X V v d D s s J n F 1 b 3 Q 7 c 3 V i X 2 d y Y W R l J n F 1 b 3 Q 7 L C Z x d W 9 0 O 2 h v b W V f b 3 d u Z X J z a G l w J n F 1 b 3 Q 7 L C Z x d W 9 0 O 2 l z c 3 V l X 2 R h d G U m c X V v d D s s J n F 1 b 3 Q 7 b G F z d F 9 j c m V k a X R f c H V s b F 9 k Y X R l J n F 1 b 3 Q 7 L C Z x d W 9 0 O 2 x h c 3 R f c G F 5 b W V u d F 9 k Y X R l J n F 1 b 3 Q 7 L C Z x d W 9 0 O 2 x v Y W 5 f c 3 R h d H V z J n F 1 b 3 Q 7 L C Z x d W 9 0 O 0 x v Y W 4 g U X V h b G l 0 e S Z x d W 9 0 O y w m c X V v d D t u Z X h 0 X 3 B h e W 1 l b n R f Z G F 0 Z S Z x d W 9 0 O y w m c X V v d D t t Z W 1 i Z X J f a W Q m c X V v d D s s J n F 1 b 3 Q 7 c H V y c G 9 z Z S Z x d W 9 0 O y w m c X V v d D t 2 Z X J p Z m l j Y X R p b 2 5 f c 3 R h d H V z J n F 1 b 3 Q 7 L C Z x d W 9 0 O 3 R l c m 1 f b W 9 u d G h z J n F 1 b 3 Q 7 L C Z x d W 9 0 O 2 F u b n V h b F 9 p b m N v b W U m c X V v d D s s J n F 1 b 3 Q 7 Z H R p J n F 1 b 3 Q 7 L C Z x d W 9 0 O 2 l u c 3 R h b G x t Z W 5 0 J n F 1 b 3 Q 7 L C Z x d W 9 0 O 2 l u d F 9 y Y X R l J n F 1 b 3 Q 7 L C Z x d W 9 0 O 2 x v Y W 5 f Y W 1 v d W 5 0 J n F 1 b 3 Q 7 L C Z x d W 9 0 O 3 R v d G F s X 2 F j Y y Z x d W 9 0 O y w m c X V v d D t 0 b 3 R h b F 9 w Y X l t Z W 5 0 J n F 1 b 3 Q 7 L C Z x d W 9 0 O 0 R U S S B G b G F n J n F 1 b 3 Q 7 L C Z x d W 9 0 O 2 V 4 c G V j d G V k X 3 R v d G F s X 3 B h e W 1 l b n Q m c X V v d D t d I i A v P j x F b n R y e S B U e X B l P S J G a W x s V G 9 E Y X R h T W 9 k Z W x F b m F i b G V k I i B W Y W x 1 Z T 0 i b D E i I C 8 + P E V u d H J 5 I F R 5 c G U 9 I k l z U H J p d m F 0 Z S I g V m F s d W U 9 I m w w I i A v P j x F b n R y e S B U e X B l P S J R d W V y e U l E I i B W Y W x 1 Z T 0 i c 2 Q 2 M j Y w M D c 4 L T A 3 N D k t N D c z O C 0 4 M T c 2 L W M z M j N k N D U 3 M D U 1 M y I g L z 4 8 R W 5 0 c n k g V H l w Z T 0 i R m l s b F N 0 Y X R 1 c y I g V m F s d W U 9 I n N D b 2 1 w b G V 0 Z 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T a G V l d C B E Z X N p Z 2 4 h U G l 2 b 3 R U Y W J s Z T I i I C 8 + P E V u d H J 5 I F R 5 c G U 9 I k F k Z G V k V G 9 E Y X R h T W 9 k Z W w i I F Z h b H V l P S J s M S I g L z 4 8 R W 5 0 c n k g V H l w Z T 0 i U m V s Y X R p b 2 5 z a G l w S W 5 m b 0 N v b n R h a W 5 l c i I g V m F s d W U 9 I n N 7 J n F 1 b 3 Q 7 Y 2 9 s d W 1 u Q 2 9 1 b n Q m c X V v d D s 6 M j c s J n F 1 b 3 Q 7 a 2 V 5 Q 2 9 s d W 1 u T m F t Z X M m c X V v d D s 6 W 1 0 s J n F 1 b 3 Q 7 c X V l c n l S Z W x h d G l v b n N o a X B z J n F 1 b 3 Q 7 O l t d L C Z x d W 9 0 O 2 N v b H V t b k l k Z W 5 0 a X R p Z X M m c X V v d D s 6 W y Z x d W 9 0 O 1 N l Y 3 R p b 2 4 x L 2 J h b m t f b G 9 h b l 9 k Y X R h L 0 N o Y W 5 n Z W Q g V H l w Z S B v Z i B h b G w g Y 2 9 s d W 1 u c y 5 7 a W Q s M H 0 m c X V v d D s s J n F 1 b 3 Q 7 U 2 V j d G l v b j E v Y m F u a 1 9 s b 2 F u X 2 R h d G E v U H J v b W 9 0 Z W Q g S G V h Z G V y c y 5 7 Y W R k c m V z c 1 9 z d G F 0 Z S w x f S Z x d W 9 0 O y w m c X V v d D t T Z W N 0 a W 9 u M S 9 i Y W 5 r X 2 x v Y W 5 f Z G F 0 Y S 9 Q c m 9 t b 3 R l Z C B I Z W F k Z X J z L n t h c H B s a W N h d G l v b l 9 0 e X B l L D J 9 J n F 1 b 3 Q 7 L C Z x d W 9 0 O 1 N l Y 3 R p b 2 4 x L 2 J h b m t f b G 9 h b l 9 k Y X R h L 1 B y b 2 1 v d G V k I E h l Y W R l c n M u e 2 V t c F 9 s Z W 5 n d G g s M 3 0 m c X V v d D s s J n F 1 b 3 Q 7 U 2 V j d G l v b j E v Y m F u a 1 9 s b 2 F u X 2 R h d G E v Q 2 h h b m d l Z C B U e X B l I G 9 m I G F s b C B j b 2 x 1 b W 5 z L n t l b X B f d G l 0 b G U s N H 0 m c X V v d D s s J n F 1 b 3 Q 7 U 2 V j d G l v b j E v Y m F u a 1 9 s b 2 F u X 2 R h d G E v U H J v b W 9 0 Z W Q g S G V h Z G V y c y 5 7 Z 3 J h Z G U s N X 0 m c X V v d D s s J n F 1 b 3 Q 7 U 2 V j d G l v b j E v Y m F u a 1 9 s b 2 F u X 2 R h d G E v U H J v b W 9 0 Z W Q g S G V h Z G V y c y 5 7 c 3 V i X 2 d y Y W R l L D E 0 f S Z x d W 9 0 O y w m c X V v d D t T Z W N 0 a W 9 u M S 9 i Y W 5 r X 2 x v Y W 5 f Z G F 0 Y S 9 Q c m 9 t b 3 R l Z C B I Z W F k Z X J z L n t o b 2 1 l X 2 9 3 b m V y c 2 h p c C w 2 f S Z x d W 9 0 O y w m c X V v d D t T Z W N 0 a W 9 u M S 9 i Y W 5 r X 2 x v Y W 5 f Z G F 0 Y S 9 D a G F u Z 2 V k I F R 5 c G U g b 2 Y g Y W x s I G N v b H V t b n M u e 2 l z c 3 V l X 2 R h d G U s O H 0 m c X V v d D s s J n F 1 b 3 Q 7 U 2 V j d G l v b j E v Y m F u a 1 9 s b 2 F u X 2 R h d G E v Q 2 h h b m d l Z C B U e X B l I G 9 m I G F s b C B j b 2 x 1 b W 5 z L n t s Y X N 0 X 2 N y Z W R p d F 9 w d W x s X 2 R h d G U s O X 0 m c X V v d D s s J n F 1 b 3 Q 7 U 2 V j d G l v b j E v Y m F u a 1 9 s b 2 F u X 2 R h d G E v Q 2 h h b m d l Z C B U e X B l I G 9 m I G F s b C B j b 2 x 1 b W 5 z L n t s Y X N 0 X 3 B h e W 1 l b n R f Z G F 0 Z S w x M H 0 m c X V v d D s s J n F 1 b 3 Q 7 U 2 V j d G l v b j E v Y m F u a 1 9 s b 2 F u X 2 R h d G E v U H J v b W 9 0 Z W Q g S G V h Z G V y c y 5 7 b G 9 h b l 9 z d G F 0 d X M s M T B 9 J n F 1 b 3 Q 7 L C Z x d W 9 0 O 1 N l Y 3 R p b 2 4 x L 2 J h b m t f b G 9 h b l 9 k Y X R h L 0 N o Y W 5 n Z W Q g V H l w Z S B v Z i B h b G w g Y 2 9 s d W 1 u c y 5 7 T G 9 h b i B R d W F s a X R 5 L D E y f S Z x d W 9 0 O y w m c X V v d D t T Z W N 0 a W 9 u M S 9 i Y W 5 r X 2 x v Y W 5 f Z G F 0 Y S 9 D a G F u Z 2 V k I F R 5 c G U g b 2 Y g Y W x s I G N v b H V t b n M u e 2 5 l e H R f c G F 5 b W V u d F 9 k Y X R l L D E z f S Z x d W 9 0 O y w m c X V v d D t T Z W N 0 a W 9 u M S 9 i Y W 5 r X 2 x v Y W 5 f Z G F 0 Y S 9 D a G F u Z 2 V k I F R 5 c G U g b 2 Y g Y W x s I G N v b H V t b n M u e 2 1 l b W J l c l 9 p Z C w x N H 0 m c X V v d D s s J n F 1 b 3 Q 7 U 2 V j d G l v b j E v Y m F u a 1 9 s b 2 F u X 2 R h d G E v U H J v b W 9 0 Z W Q g S G V h Z G V y c y 5 7 c H V y c G 9 z Z S w x M 3 0 m c X V v d D s s J n F 1 b 3 Q 7 U 2 V j d G l v b j E v Y m F u a 1 9 s b 2 F u X 2 R h d G E v U H J v b W 9 0 Z W Q g S G V h Z G V y c y 5 7 d m V y a W Z p Y 2 F 0 a W 9 u X 3 N 0 Y X R 1 c y w x N n 0 m c X V v d D s s J n F 1 b 3 Q 7 U 2 V j d G l v b j E v Y m F u a 1 9 s b 2 F u X 2 R h d G E v Q 2 h h b m d l Z C B U e X B l L n t 0 Z X J t X 2 1 v b n R o c y w x N 3 0 m c X V v d D s s J n F 1 b 3 Q 7 U 2 V j d G l v b j E v Y m F u a 1 9 s b 2 F u X 2 R h d G E v Q 2 h h b m d l Z C B U e X B l I G 9 m I G F s b C B j b 2 x 1 b W 5 z L n t h b m 5 1 Y W x f a W 5 j b 2 1 l L D E 4 f S Z x d W 9 0 O y w m c X V v d D t T Z W N 0 a W 9 u M S 9 i Y W 5 r X 2 x v Y W 5 f Z G F 0 Y S 9 D a G F u Z 2 V k I F R 5 c G U g b 2 Y g Y W x s I G N v b H V t b n M u e 2 R 0 a S w x O X 0 m c X V v d D s s J n F 1 b 3 Q 7 U 2 V j d G l v b j E v Y m F u a 1 9 s b 2 F u X 2 R h d G E v Q 2 h h b m d l Z C B U e X B l I G 9 m I G F s b C B j b 2 x 1 b W 5 z L n t p b n N 0 Y W x s b W V u d C w y M H 0 m c X V v d D s s J n F 1 b 3 Q 7 U 2 V j d G l v b j E v Y m F u a 1 9 s b 2 F u X 2 R h d G E v Q 2 h h b m d l Z C B U e X B l I G 9 m I G F s b C B j b 2 x 1 b W 5 z L n t p b n R f c m F 0 Z S w y M X 0 m c X V v d D s s J n F 1 b 3 Q 7 U 2 V j d G l v b j E v Y m F u a 1 9 s b 2 F u X 2 R h d G E v Q 2 h h b m d l Z C B U e X B l I G 9 m I G F s b C B j b 2 x 1 b W 5 z L n t s b 2 F u X 2 F t b 3 V u d C w y M n 0 m c X V v d D s s J n F 1 b 3 Q 7 U 2 V j d G l v b j E v Y m F u a 1 9 s b 2 F u X 2 R h d G E v Q 2 h h b m d l Z C B U e X B l I G 9 m I G F s b C B j b 2 x 1 b W 5 z L n t 0 b 3 R h b F 9 h Y 2 M s M j N 9 J n F 1 b 3 Q 7 L C Z x d W 9 0 O 1 N l Y 3 R p b 2 4 x L 2 J h b m t f b G 9 h b l 9 k Y X R h L 0 N o Y W 5 n Z W Q g V H l w Z S B v Z i B h b G w g Y 2 9 s d W 1 u c y 5 7 d G 9 0 Y W x f c G F 5 b W V u d C w y N H 0 m c X V v d D s s J n F 1 b 3 Q 7 U 2 V j d G l v b j E v Y m F u a 1 9 s b 2 F u X 2 R h d G E v Q 2 h h b m d l Z C B U e X B l I G 9 m I G F s b C B j b 2 x 1 b W 5 z L n t I a W d o I E R U S S B G b G F n L D I 1 f S Z x d W 9 0 O y w m c X V v d D t T Z W N 0 a W 9 u M S 9 i Y W 5 r X 2 x v Y W 5 f Z G F 0 Y S 9 D a G F u Z 2 V k I F R 5 c G U g b 2 Y g Y W x s I G N v b H V t b n M u e 2 V 4 c G V j d G V k X 3 R v d G F s X 3 B h e W 1 l b n Q s M j Z 9 J n F 1 b 3 Q 7 X S w m c X V v d D t D b 2 x 1 b W 5 D b 3 V u d C Z x d W 9 0 O z o y N y w m c X V v d D t L Z X l D b 2 x 1 b W 5 O Y W 1 l c y Z x d W 9 0 O z p b X S w m c X V v d D t D b 2 x 1 b W 5 J Z G V u d G l 0 a W V z J n F 1 b 3 Q 7 O l s m c X V v d D t T Z W N 0 a W 9 u M S 9 i Y W 5 r X 2 x v Y W 5 f Z G F 0 Y S 9 D a G F u Z 2 V k I F R 5 c G U g b 2 Y g Y W x s I G N v b H V t b n M u e 2 l k L D B 9 J n F 1 b 3 Q 7 L C Z x d W 9 0 O 1 N l Y 3 R p b 2 4 x L 2 J h b m t f b G 9 h b l 9 k Y X R h L 1 B y b 2 1 v d G V k I E h l Y W R l c n M u e 2 F k Z H J l c 3 N f c 3 R h d G U s M X 0 m c X V v d D s s J n F 1 b 3 Q 7 U 2 V j d G l v b j E v Y m F u a 1 9 s b 2 F u X 2 R h d G E v U H J v b W 9 0 Z W Q g S G V h Z G V y c y 5 7 Y X B w b G l j Y X R p b 2 5 f d H l w Z S w y f S Z x d W 9 0 O y w m c X V v d D t T Z W N 0 a W 9 u M S 9 i Y W 5 r X 2 x v Y W 5 f Z G F 0 Y S 9 Q c m 9 t b 3 R l Z C B I Z W F k Z X J z L n t l b X B f b G V u Z 3 R o L D N 9 J n F 1 b 3 Q 7 L C Z x d W 9 0 O 1 N l Y 3 R p b 2 4 x L 2 J h b m t f b G 9 h b l 9 k Y X R h L 0 N o Y W 5 n Z W Q g V H l w Z S B v Z i B h b G w g Y 2 9 s d W 1 u c y 5 7 Z W 1 w X 3 R p d G x l L D R 9 J n F 1 b 3 Q 7 L C Z x d W 9 0 O 1 N l Y 3 R p b 2 4 x L 2 J h b m t f b G 9 h b l 9 k Y X R h L 1 B y b 2 1 v d G V k I E h l Y W R l c n M u e 2 d y Y W R l L D V 9 J n F 1 b 3 Q 7 L C Z x d W 9 0 O 1 N l Y 3 R p b 2 4 x L 2 J h b m t f b G 9 h b l 9 k Y X R h L 1 B y b 2 1 v d G V k I E h l Y W R l c n M u e 3 N 1 Y l 9 n c m F k Z S w x N H 0 m c X V v d D s s J n F 1 b 3 Q 7 U 2 V j d G l v b j E v Y m F u a 1 9 s b 2 F u X 2 R h d G E v U H J v b W 9 0 Z W Q g S G V h Z G V y c y 5 7 a G 9 t Z V 9 v d 2 5 l c n N o a X A s N n 0 m c X V v d D s s J n F 1 b 3 Q 7 U 2 V j d G l v b j E v Y m F u a 1 9 s b 2 F u X 2 R h d G E v Q 2 h h b m d l Z C B U e X B l I G 9 m I G F s b C B j b 2 x 1 b W 5 z L n t p c 3 N 1 Z V 9 k Y X R l L D h 9 J n F 1 b 3 Q 7 L C Z x d W 9 0 O 1 N l Y 3 R p b 2 4 x L 2 J h b m t f b G 9 h b l 9 k Y X R h L 0 N o Y W 5 n Z W Q g V H l w Z S B v Z i B h b G w g Y 2 9 s d W 1 u c y 5 7 b G F z d F 9 j c m V k a X R f c H V s b F 9 k Y X R l L D l 9 J n F 1 b 3 Q 7 L C Z x d W 9 0 O 1 N l Y 3 R p b 2 4 x L 2 J h b m t f b G 9 h b l 9 k Y X R h L 0 N o Y W 5 n Z W Q g V H l w Z S B v Z i B h b G w g Y 2 9 s d W 1 u c y 5 7 b G F z d F 9 w Y X l t Z W 5 0 X 2 R h d G U s M T B 9 J n F 1 b 3 Q 7 L C Z x d W 9 0 O 1 N l Y 3 R p b 2 4 x L 2 J h b m t f b G 9 h b l 9 k Y X R h L 1 B y b 2 1 v d G V k I E h l Y W R l c n M u e 2 x v Y W 5 f c 3 R h d H V z L D E w f S Z x d W 9 0 O y w m c X V v d D t T Z W N 0 a W 9 u M S 9 i Y W 5 r X 2 x v Y W 5 f Z G F 0 Y S 9 D a G F u Z 2 V k I F R 5 c G U g b 2 Y g Y W x s I G N v b H V t b n M u e 0 x v Y W 4 g U X V h b G l 0 e S w x M n 0 m c X V v d D s s J n F 1 b 3 Q 7 U 2 V j d G l v b j E v Y m F u a 1 9 s b 2 F u X 2 R h d G E v Q 2 h h b m d l Z C B U e X B l I G 9 m I G F s b C B j b 2 x 1 b W 5 z L n t u Z X h 0 X 3 B h e W 1 l b n R f Z G F 0 Z S w x M 3 0 m c X V v d D s s J n F 1 b 3 Q 7 U 2 V j d G l v b j E v Y m F u a 1 9 s b 2 F u X 2 R h d G E v Q 2 h h b m d l Z C B U e X B l I G 9 m I G F s b C B j b 2 x 1 b W 5 z L n t t Z W 1 i Z X J f a W Q s M T R 9 J n F 1 b 3 Q 7 L C Z x d W 9 0 O 1 N l Y 3 R p b 2 4 x L 2 J h b m t f b G 9 h b l 9 k Y X R h L 1 B y b 2 1 v d G V k I E h l Y W R l c n M u e 3 B 1 c n B v c 2 U s M T N 9 J n F 1 b 3 Q 7 L C Z x d W 9 0 O 1 N l Y 3 R p b 2 4 x L 2 J h b m t f b G 9 h b l 9 k Y X R h L 1 B y b 2 1 v d G V k I E h l Y W R l c n M u e 3 Z l c m l m a W N h d G l v b l 9 z d G F 0 d X M s M T Z 9 J n F 1 b 3 Q 7 L C Z x d W 9 0 O 1 N l Y 3 R p b 2 4 x L 2 J h b m t f b G 9 h b l 9 k Y X R h L 0 N o Y W 5 n Z W Q g V H l w Z S 5 7 d G V y b V 9 t b 2 5 0 a H M s M T d 9 J n F 1 b 3 Q 7 L C Z x d W 9 0 O 1 N l Y 3 R p b 2 4 x L 2 J h b m t f b G 9 h b l 9 k Y X R h L 0 N o Y W 5 n Z W Q g V H l w Z S B v Z i B h b G w g Y 2 9 s d W 1 u c y 5 7 Y W 5 u d W F s X 2 l u Y 2 9 t Z S w x O H 0 m c X V v d D s s J n F 1 b 3 Q 7 U 2 V j d G l v b j E v Y m F u a 1 9 s b 2 F u X 2 R h d G E v Q 2 h h b m d l Z C B U e X B l I G 9 m I G F s b C B j b 2 x 1 b W 5 z L n t k d G k s M T l 9 J n F 1 b 3 Q 7 L C Z x d W 9 0 O 1 N l Y 3 R p b 2 4 x L 2 J h b m t f b G 9 h b l 9 k Y X R h L 0 N o Y W 5 n Z W Q g V H l w Z S B v Z i B h b G w g Y 2 9 s d W 1 u c y 5 7 a W 5 z d G F s b G 1 l b n Q s M j B 9 J n F 1 b 3 Q 7 L C Z x d W 9 0 O 1 N l Y 3 R p b 2 4 x L 2 J h b m t f b G 9 h b l 9 k Y X R h L 0 N o Y W 5 n Z W Q g V H l w Z S B v Z i B h b G w g Y 2 9 s d W 1 u c y 5 7 a W 5 0 X 3 J h d G U s M j F 9 J n F 1 b 3 Q 7 L C Z x d W 9 0 O 1 N l Y 3 R p b 2 4 x L 2 J h b m t f b G 9 h b l 9 k Y X R h L 0 N o Y W 5 n Z W Q g V H l w Z S B v Z i B h b G w g Y 2 9 s d W 1 u c y 5 7 b G 9 h b l 9 h b W 9 1 b n Q s M j J 9 J n F 1 b 3 Q 7 L C Z x d W 9 0 O 1 N l Y 3 R p b 2 4 x L 2 J h b m t f b G 9 h b l 9 k Y X R h L 0 N o Y W 5 n Z W Q g V H l w Z S B v Z i B h b G w g Y 2 9 s d W 1 u c y 5 7 d G 9 0 Y W x f Y W N j L D I z f S Z x d W 9 0 O y w m c X V v d D t T Z W N 0 a W 9 u M S 9 i Y W 5 r X 2 x v Y W 5 f Z G F 0 Y S 9 D a G F u Z 2 V k I F R 5 c G U g b 2 Y g Y W x s I G N v b H V t b n M u e 3 R v d G F s X 3 B h e W 1 l b n Q s M j R 9 J n F 1 b 3 Q 7 L C Z x d W 9 0 O 1 N l Y 3 R p b 2 4 x L 2 J h b m t f b G 9 h b l 9 k Y X R h L 0 N o Y W 5 n Z W Q g V H l w Z S B v Z i B h b G w g Y 2 9 s d W 1 u c y 5 7 S G l n a C B E V E k g R m x h Z y w y N X 0 m c X V v d D s s J n F 1 b 3 Q 7 U 2 V j d G l v b j E v Y m F u a 1 9 s b 2 F u X 2 R h d G E v Q 2 h h b m d l Z C B U e X B l I G 9 m I G F s b C B j b 2 x 1 b W 5 z L n t l e H B l Y 3 R l Z F 9 0 b 3 R h b F 9 w Y X l t Z W 5 0 L D I 2 f S Z x d W 9 0 O 1 0 s J n F 1 b 3 Q 7 U m V s Y X R p b 2 5 z a G l w S W 5 m b y Z x d W 9 0 O z p b X X 0 i I C 8 + P C 9 T d G F i b G V F b n R y a W V z P j w v S X R l b T 4 8 S X R l b T 4 8 S X R l b U x v Y 2 F 0 a W 9 u P j x J d G V t V H l w Z T 5 G b 3 J t d W x h P C 9 J d G V t V H l w Z T 4 8 S X R l b V B h d G g + U 2 V j d G l v b j E v d W 5 l b X B s b 3 l t Z W 5 0 X 3 J h d G U 8 L 0 l 0 Z W 1 Q Y X R o P j w v S X R l b U x v Y 2 F 0 a W 9 u P j x T d G F i b G V F b n R y a W V z P j x F b n R y e S B U e X B l P S J B Z G R l Z F R v R G F 0 Y U 1 v Z G V s I i B W Y W x 1 Z T 0 i b D E i I C 8 + P E V u d H J 5 I F R 5 c G U 9 I k J 1 Z m Z l c k 5 l e H R S Z W Z y Z X N o I i B W Y W x 1 Z T 0 i b D E i I C 8 + P E V u d H J 5 I F R 5 c G U 9 I k Z p b G x D b 3 V u d C I g V m F s d W U 9 I m w 1 M i I g L z 4 8 R W 5 0 c n k g V H l w Z T 0 i R m l s b E V u Y W J s Z W Q i I F Z h b H V l P S J s M C I g L z 4 8 R W 5 0 c n k g V H l w Z T 0 i R m l s b E V y c m 9 y Q 2 9 k Z S I g V m F s d W U 9 I n N V b m t u b 3 d u I i A v P j x F b n R y e S B U e X B l P S J G a W x s R X J y b 3 J D b 3 V u d C I g V m F s d W U 9 I m w w I i A v P j x F b n R y e S B U e X B l P S J G a W x s T G F z d F V w Z G F 0 Z W Q i I F Z h b H V l P S J k M j A y N S 0 w N S 0 w M l Q x N D o w M j o 0 M C 4 4 O T U 3 M T M 0 W i I g L z 4 8 R W 5 0 c n k g V H l w Z T 0 i R m l s b E N v b H V t b l R 5 c G V z I i B W Y W x 1 Z T 0 i c 0 J n W U Y i I C 8 + P E V u d H J 5 I F R 5 c G U 9 I k Z p b G x D b 2 x 1 b W 5 O Y W 1 l c y I g V m F s d W U 9 I n N b J n F 1 b 3 Q 7 c 3 R h d G V f Y W J i c m V 2 a W F 0 a W 9 u J n F 1 b 3 Q 7 L C Z x d W 9 0 O 0 5 h b W U m c X V v d D s s J n F 1 b 3 Q 7 d W 5 l b X B s b 3 l t Z W 5 0 X 3 J h d G 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z Z i Z T U z N D k t N T U y M y 0 0 Z m E 0 L W J j O D U t M T R h M j k 5 N W Y z M D V k I i A v P j x F b n R y e S B U e X B l P S J S Z W x h d G l v b n N o a X B J b m Z v Q 2 9 u d G F p b m V y I i B W Y W x 1 Z T 0 i c 3 s m c X V v d D t j b 2 x 1 b W 5 D b 3 V u d C Z x d W 9 0 O z o z L C Z x d W 9 0 O 2 t l e U N v b H V t b k 5 h b W V z J n F 1 b 3 Q 7 O l t d L C Z x d W 9 0 O 3 F 1 Z X J 5 U m V s Y X R p b 2 5 z a G l w c y Z x d W 9 0 O z p b X S w m c X V v d D t j b 2 x 1 b W 5 J Z G V u d G l 0 a W V z J n F 1 b 3 Q 7 O l s m c X V v d D t T Z W N 0 a W 9 u M S 9 1 b m V t c G x 5 b 2 1 l b n R f c m F 0 Z S 9 D a G F u Z 2 V k I F R 5 c G U u e 3 N 0 Y X R l X 2 F i Y n J l d m l h d G l v b i w w f S Z x d W 9 0 O y w m c X V v d D t T Z W N 0 a W 9 u M S 9 1 b m V t c G x 5 b 2 1 l b n R f c m F 0 Z S 9 D a G F u Z 2 V k I F R 5 c G U u e 0 5 h b W U s M X 0 m c X V v d D s s J n F 1 b 3 Q 7 U 2 V j d G l v b j E v d W 5 l b X B s e W 9 t Z W 5 0 X 3 J h d G U v Q 2 h h b m d l Z C B U e X B l L n s y M D I x L D J 9 J n F 1 b 3 Q 7 X S w m c X V v d D t D b 2 x 1 b W 5 D b 3 V u d C Z x d W 9 0 O z o z L C Z x d W 9 0 O 0 t l e U N v b H V t b k 5 h b W V z J n F 1 b 3 Q 7 O l t d L C Z x d W 9 0 O 0 N v b H V t b k l k Z W 5 0 a X R p Z X M m c X V v d D s 6 W y Z x d W 9 0 O 1 N l Y 3 R p b 2 4 x L 3 V u Z W 1 w b H l v b W V u d F 9 y Y X R l L 0 N o Y W 5 n Z W Q g V H l w Z S 5 7 c 3 R h d G V f Y W J i c m V 2 a W F 0 a W 9 u L D B 9 J n F 1 b 3 Q 7 L C Z x d W 9 0 O 1 N l Y 3 R p b 2 4 x L 3 V u Z W 1 w b H l v b W V u d F 9 y Y X R l L 0 N o Y W 5 n Z W Q g V H l w Z S 5 7 T m F t Z S w x f S Z x d W 9 0 O y w m c X V v d D t T Z W N 0 a W 9 u M S 9 1 b m V t c G x 5 b 2 1 l b n R f c m F 0 Z S 9 D a G F u Z 2 V k I F R 5 c G U u e z I w M j E s M n 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S I g L z 4 8 R W 5 0 c n k g V H l w Z T 0 i U G l 2 b 3 R P Y m p l Y 3 R O Y W 1 l I i B W Y W x 1 Z T 0 i c 1 N o Z W V 0 I E R l c 2 l n b i F Q a X Z v d F R h Y m x l N S I g L z 4 8 L 1 N 0 Y W J s Z U V u d H J p Z X M + P C 9 J d G V t P j x J d G V t P j x J d G V t T G 9 j Y X R p b 2 4 + P E l 0 Z W 1 U e X B l P k Z v c m 1 1 b G E 8 L 0 l 0 Z W 1 U e X B l P j x J d G V t U G F 0 a D 5 T Z W N 0 a W 9 u M S 9 y Y X d f Z G F 0 Y S 9 T b 3 V y Y 2 U 8 L 0 l 0 Z W 1 Q Y X R o P j w v S X R l b U x v Y 2 F 0 a W 9 u P j x T d G F i b G V F b n R y a W V z I C 8 + P C 9 J d G V t P j x J d G V t P j x J d G V t T G 9 j Y X R p b 2 4 + P E l 0 Z W 1 U e X B l P k Z v c m 1 1 b G E 8 L 0 l 0 Z W 1 U e X B l P j x J d G V t U G F 0 a D 5 T Z W N 0 a W 9 u M S 9 i Y W 5 r X 2 x v Y W 5 f Z G F 0 Y S 9 T b 3 V y Y 2 U 8 L 0 l 0 Z W 1 Q Y X R o P j w v S X R l b U x v Y 2 F 0 a W 9 u P j x T d G F i b G V F b n R y a W V z I C 8 + P C 9 J d G V t P j x J d G V t P j x J d G V t T G 9 j Y X R p b 2 4 + P E l 0 Z W 1 U e X B l P k Z v c m 1 1 b G E 8 L 0 l 0 Z W 1 U e X B l P j x J d G V t U G F 0 a D 5 T Z W N 0 a W 9 u M S 9 i Y W 5 r X 2 x v Y W 5 f Z G F 0 Y S 9 D J T N B J T V D U 3 V u b n k l N U N G a W x l c y U 1 Q 0 V 4 Y 2 V s J T V D V W 5 n d W l k Z W Q l M j B Q c m 9 q Z W N 0 J T V D Q m F u a y U y M E x v Y W 4 l N U N y Y X d f Z G F 0 Y S U 1 Q 1 9 i Y W 5 r X 2 x v Y W 5 f c m F 3 J T I w e G x z e D w v S X R l b V B h d G g + P C 9 J d G V t T G 9 j Y X R p b 2 4 + P F N 0 Y W J s Z U V u d H J p Z X M g L z 4 8 L 0 l 0 Z W 0 + P E l 0 Z W 0 + P E l 0 Z W 1 M b 2 N h d G l v b j 4 8 S X R l b V R 5 c G U + R m 9 y b X V s Y T w v S X R l b V R 5 c G U + P E l 0 Z W 1 Q Y X R o P l N l Y 3 R p b 2 4 x L 2 J h b m t f b G 9 h b l 9 k Y X R h L 0 l t c G 9 y d G V k J T I w R X h j Z W w l M j B X b 3 J r Y m 9 v a z w v S X R l b V B h d G g + P C 9 J d G V t T G 9 j Y X R p b 2 4 + P F N 0 Y W J s Z U V u d H J p Z X M g L z 4 8 L 0 l 0 Z W 0 + P E l 0 Z W 0 + P E l 0 Z W 1 M b 2 N h d G l v b j 4 8 S X R l b V R 5 c G U + R m 9 y b X V s Y T w v S X R l b V R 5 c G U + P E l 0 Z W 1 Q Y X R o P l N l Y 3 R p b 2 4 x L 2 J h b m t f b G 9 h b l 9 k Y X R h L 1 J h d 1 9 E Y X R h X 1 N o Z W V 0 P C 9 J d G V t U G F 0 a D 4 8 L 0 l 0 Z W 1 M b 2 N h d G l v b j 4 8 U 3 R h Y m x l R W 5 0 c m l l c y A v P j w v S X R l b T 4 8 S X R l b T 4 8 S X R l b U x v Y 2 F 0 a W 9 u P j x J d G V t V H l w Z T 5 G b 3 J t d W x h P C 9 J d G V t V H l w Z T 4 8 S X R l b V B h d G g + U 2 V j d G l v b j E v Y m F u a 1 9 s b 2 F u X 2 R h d G E v U H J v b W 9 0 Z W Q l M j B I Z W F k Z X J z P C 9 J d G V t U G F 0 a D 4 8 L 0 l 0 Z W 1 M b 2 N h d G l v b j 4 8 U 3 R h Y m x l R W 5 0 c m l l c y A v P j w v S X R l b T 4 8 S X R l b T 4 8 S X R l b U x v Y 2 F 0 a W 9 u P j x J d G V t V H l w Z T 5 G b 3 J t d W x h P C 9 J d G V t V H l w Z T 4 8 S X R l b V B h d G g + U 2 V j d G l v b j E v Y m F u a 1 9 s b 2 F u X 2 R h d G E v Q W R k Z W Q l M j B D b 2 5 k a X R p b 2 5 h b C U y M E N v b H V t b i U y M E x v Y W 4 l M j B R d W F s a X R 5 J T I w Y m F z Z W Q l M j B v b i U y M G x v Y W 5 f c 3 R h d H V z P C 9 J d G V t U G F 0 a D 4 8 L 0 l 0 Z W 1 M b 2 N h d G l v b j 4 8 U 3 R h Y m x l R W 5 0 c m l l c y A v P j w v S X R l b T 4 8 S X R l b T 4 8 S X R l b U x v Y 2 F 0 a W 9 u P j x J d G V t V H l w Z T 5 G b 3 J t d W x h P C 9 J d G V t V H l w Z T 4 8 S X R l b V B h d G g + U 2 V j d G l v b j E v Y m F u a 1 9 s b 2 F u X 2 R h d G E v U m V v c m R l c m V k J T I w Q 2 9 s d W 1 u c y U y M C 0 l M j B w c m V z Z W 5 0 Z W Q l M j B M b 2 F u J T I w U X V h b G l 0 e S U y M G F m d G V y J T I w b G 9 h b l 9 z d G F 0 d X M 8 L 0 l 0 Z W 1 Q Y X R o P j w v S X R l b U x v Y 2 F 0 a W 9 u P j x T d G F i b G V F b n R y a W V z I C 8 + P C 9 J d G V t P j x J d G V t P j x J d G V t T G 9 j Y X R p b 2 4 + P E l 0 Z W 1 U e X B l P k Z v c m 1 1 b G E 8 L 0 l 0 Z W 1 U e X B l P j x J d G V t U G F 0 a D 5 T Z W N 0 a W 9 u M S 9 i Y W 5 r X 2 x v Y W 5 f Z G F 0 Y S 9 U c m l t b W V k J T I w V G V y b S U y M E N v b H V t b j w v S X R l b V B h d G g + P C 9 J d G V t T G 9 j Y X R p b 2 4 + P F N 0 Y W J s Z U V u d H J p Z X M g L z 4 8 L 0 l 0 Z W 0 + P E l 0 Z W 0 + P E l 0 Z W 1 M b 2 N h d G l v b j 4 8 S X R l b V R 5 c G U + R m 9 y b X V s Y T w v S X R l b V R 5 c G U + P E l 0 Z W 1 Q Y X R o P l N l Y 3 R p b 2 4 x L 2 J h b m t f b G 9 h b l 9 k Y X R h L 0 V 4 d H J h Y 3 R l Z C U y M F R l e H Q l M j B C Z W Z v c m U l M j B E Z W x p b W l 0 Z X I l M j B m c m 9 t J T I w M z Y l M j B t b 2 5 0 a H M l M j B 0 b y U y M D M 2 P C 9 J d G V t U G F 0 a D 4 8 L 0 l 0 Z W 1 M b 2 N h d G l v b j 4 8 U 3 R h Y m x l R W 5 0 c m l l c y A v P j w v S X R l b T 4 8 S X R l b T 4 8 S X R l b U x v Y 2 F 0 a W 9 u P j x J d G V t V H l w Z T 5 G b 3 J t d W x h P C 9 J d G V t V H l w Z T 4 8 S X R l b V B h d G g + U 2 V j d G l v b j E v Y m F u a 1 9 s b 2 F u X 2 R h d G E v Q 2 h h b m d l Z C U y M F R 5 c G U 8 L 0 l 0 Z W 1 Q Y X R o P j w v S X R l b U x v Y 2 F 0 a W 9 u P j x T d G F i b G V F b n R y a W V z I C 8 + P C 9 J d G V t P j x J d G V t P j x J d G V t T G 9 j Y X R p b 2 4 + P E l 0 Z W 1 U e X B l P k Z v c m 1 1 b G E 8 L 0 l 0 Z W 1 U e X B l P j x J d G V t U G F 0 a D 5 T Z W N 0 a W 9 u M S 9 i Y W 5 r X 2 x v Y W 5 f Z G F 0 Y S 9 S Z W 5 h b W V k J T I w Q 2 9 s d W 1 u c y U y M H R v J T I w d G V y b V 9 t b 2 5 0 a H M 8 L 0 l 0 Z W 1 Q Y X R o P j w v S X R l b U x v Y 2 F 0 a W 9 u P j x T d G F i b G V F b n R y a W V z I C 8 + P C 9 J d G V t P j x J d G V t P j x J d G V t T G 9 j Y X R p b 2 4 + P E l 0 Z W 1 U e X B l P k Z v c m 1 1 b G E 8 L 0 l 0 Z W 1 U e X B l P j x J d G V t U G F 0 a D 5 T Z W N 0 a W 9 u M S 9 i Y W 5 r X 2 x v Y W 5 f Z G F 0 Y S 9 B Z G R l Z C U y M E N v b m R p d G l v b m F s J T I w Q 2 9 s d W 1 u P C 9 J d G V t U G F 0 a D 4 8 L 0 l 0 Z W 1 M b 2 N h d G l v b j 4 8 U 3 R h Y m x l R W 5 0 c m l l c y A v P j w v S X R l b T 4 8 S X R l b T 4 8 S X R l b U x v Y 2 F 0 a W 9 u P j x J d G V t V H l w Z T 5 G b 3 J t d W x h P C 9 J d G V t V H l w Z T 4 8 S X R l b V B h d G g + U 2 V j d G l v b j E v Y m F u a 1 9 s b 2 F u X 2 R h d G E v Q W R k Z W Q l M j B D d X N 0 b 2 0 8 L 0 l 0 Z W 1 Q Y X R o P j w v S X R l b U x v Y 2 F 0 a W 9 u P j x T d G F i b G V F b n R y a W V z I C 8 + P C 9 J d G V t P j x J d G V t P j x J d G V t T G 9 j Y X R p b 2 4 + P E l 0 Z W 1 U e X B l P k Z v c m 1 1 b G E 8 L 0 l 0 Z W 1 U e X B l P j x J d G V t U G F 0 a D 5 T Z W N 0 a W 9 u M S 9 i Y W 5 r X 2 x v Y W 5 f Z G F 0 Y S 9 D a G F u Z 2 V k J T I w V H l w Z S U y M G 9 m J T I w Y W x s J T I w Y 2 9 s d W 1 u c z w v S X R l b V B h d G g + P C 9 J d G V t T G 9 j Y X R p b 2 4 + P F N 0 Y W J s Z U V u d H J p Z X M g L z 4 8 L 0 l 0 Z W 0 + P E l 0 Z W 0 + P E l 0 Z W 1 M b 2 N h d G l v b j 4 8 S X R l b V R 5 c G U + R m 9 y b X V s Y T w v S X R l b V R 5 c G U + P E l 0 Z W 1 Q Y X R o P l N l Y 3 R p b 2 4 x L 3 V u Z W 1 w b G 9 5 b W V u d F 9 y Y X R l L 1 N v d X J j Z T w v S X R l b V B h d G g + P C 9 J d G V t T G 9 j Y X R p b 2 4 + P F N 0 Y W J s Z U V u d H J p Z X M g L z 4 8 L 0 l 0 Z W 0 + P E l 0 Z W 0 + P E l 0 Z W 1 M b 2 N h d G l v b j 4 8 S X R l b V R 5 c G U + R m 9 y b X V s Y T w v S X R l b V R 5 c G U + P E l 0 Z W 1 Q Y X R o P l N l Y 3 R p b 2 4 x L 3 V u Z W 1 w b G 9 5 b W V u d F 9 y Y X R l L 0 M l M 0 E l N U N T d W 5 u e S U 1 Q 0 Z p b G V z J T V D R X h j Z W w l N U N V b m d 1 a W R l Z C U y M F B y b 2 p l Y 3 Q l N U N C Y W 5 r J T I w T G 9 h b i U 1 Q 3 J h d 1 9 k Y X R h J T V D X 3 V u Z W 1 w b G 9 t Z W 5 0 X 3 J h d G V f M j A y M S U y M H h s c 3 g 8 L 0 l 0 Z W 1 Q Y X R o P j w v S X R l b U x v Y 2 F 0 a W 9 u P j x T d G F i b G V F b n R y a W V z I C 8 + P C 9 J d G V t P j x J d G V t P j x J d G V t T G 9 j Y X R p b 2 4 + P E l 0 Z W 1 U e X B l P k Z v c m 1 1 b G E 8 L 0 l 0 Z W 1 U e X B l P j x J d G V t U G F 0 a D 5 T Z W N 0 a W 9 u M S 9 1 b m V t c G x v e W 1 l b n R f c m F 0 Z S 9 J b X B v c n R l Z C U y M E V 4 Y 2 V s J T I w V 2 9 y a 2 J v b 2 s 8 L 0 l 0 Z W 1 Q Y X R o P j w v S X R l b U x v Y 2 F 0 a W 9 u P j x T d G F i b G V F b n R y a W V z I C 8 + P C 9 J d G V t P j x J d G V t P j x J d G V t T G 9 j Y X R p b 2 4 + P E l 0 Z W 1 U e X B l P k Z v c m 1 1 b G E 8 L 0 l 0 Z W 1 U e X B l P j x J d G V t U G F 0 a D 5 T Z W N 0 a W 9 u M S 9 1 b m V t c G x v e W 1 l b n R f c m F 0 Z S 9 1 b m V t c G x v e W 1 l b n R f c m F 0 Z V 9 T a G V l d D w v S X R l b V B h d G g + P C 9 J d G V t T G 9 j Y X R p b 2 4 + P F N 0 Y W J s Z U V u d H J p Z X M g L z 4 8 L 0 l 0 Z W 0 + P E l 0 Z W 0 + P E l 0 Z W 1 M b 2 N h d G l v b j 4 8 S X R l b V R 5 c G U + R m 9 y b X V s Y T w v S X R l b V R 5 c G U + P E l 0 Z W 1 Q Y X R o P l N l Y 3 R p b 2 4 x L 3 V u Z W 1 w b G 9 5 b W V u d F 9 y Y X R l L 1 B y b 2 1 v d G V k J T I w S G V h Z G V y c z w v S X R l b V B h d G g + P C 9 J d G V t T G 9 j Y X R p b 2 4 + P F N 0 Y W J s Z U V u d H J p Z X M g L z 4 8 L 0 l 0 Z W 0 + P E l 0 Z W 0 + P E l 0 Z W 1 M b 2 N h d G l v b j 4 8 S X R l b V R 5 c G U + R m 9 y b X V s Y T w v S X R l b V R 5 c G U + P E l 0 Z W 1 Q Y X R o P l N l Y 3 R p b 2 4 x L 3 V u Z W 1 w b G 9 5 b W V u d F 9 y Y X R l L 0 N o Y W 5 n Z W Q l M j B U e X B l P C 9 J d G V t U G F 0 a D 4 8 L 0 l 0 Z W 1 M b 2 N h d G l v b j 4 8 U 3 R h Y m x l R W 5 0 c m l l c y A v P j w v S X R l b T 4 8 S X R l b T 4 8 S X R l b U x v Y 2 F 0 a W 9 u P j x J d G V t V H l w Z T 5 G b 3 J t d W x h P C 9 J d G V t V H l w Z T 4 8 S X R l b V B h d G g + U 2 V j d G l v b j E v d W 5 l b X B s b 3 l t Z W 5 0 X 3 J h d G U v U m V u Y W 1 l Z C U y M E N v b H V t b n M 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Y m F u a 1 9 s b 2 F u X 2 R h d G E v U m V u Y W 1 l Z C U y M E N v b H V t b n M 8 L 0 l 0 Z W 1 Q Y X R o P j w v S X R l b U x v Y 2 F 0 a W 9 u P j x T d G F i b G V F b n R y a W V z I C 8 + P C 9 J d G V t P j w v S X R l b X M + P C 9 M b 2 N h b F B h Y 2 t h Z 2 V N Z X R h Z G F 0 Y U Z p b G U + F g A A A F B L B Q Y A A A A A A A A A A A A A A A A A A A A A A A A m A Q A A A Q A A A N C M n d 8 B F d E R j H o A w E / C l + s B A A A A k q J c E w M R V k m k h Z r b a M 7 8 l g A A A A A C A A A A A A A Q Z g A A A A E A A C A A A A A + t t b Q T i y h N 6 I v 7 v 1 p F y m c t L E Y I 7 Y p o a B o A v p 0 Z v A n / A A A A A A O g A A A A A I A A C A A A A A h e Y d J H f T O I t + Z 8 Z f p l V v D m b s 0 P V X Q O R h i U 2 7 H T 8 Q M h V A A A A C y + a h l E O O z U Z 6 W 0 d T w N 0 y L A K L 4 z E J m 1 t S Z w C W m l d l s 2 5 K Q P 4 K q 5 c s Q 2 z 9 r y T G W H r z 4 8 B o / N M c i 6 C F X K N m H W L l D c x q I s Z y U O G d b 1 L v m 7 1 i 7 2 E A A A A A 3 j F 4 k n w N K 7 H 6 7 J G m E 7 3 N 8 V F V W I o 0 R J q F 5 0 b A J b E J + p a K j K s t F s L I R X d B N d 3 A 3 Q y T y E + W o 2 z b h / J e i 8 t S L d h U 8 < / D a t a M a s h u p > 
</file>

<file path=customXml/item17.xml>��< ? x m l   v e r s i o n = " 1 . 0 "   e n c o d i n g = " U T F - 1 6 " ? > < G e m i n i   x m l n s = " h t t p : / / g e m i n i / p i v o t c u s t o m i z a t i o n / d 9 e b d 1 4 6 - 9 d e 9 - 4 8 9 8 - a 6 e f - b 7 b e d a b 6 5 6 f 8 " > < 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18.xml>��< ? x m l   v e r s i o n = " 1 . 0 "   e n c o d i n g = " U T F - 1 6 " ? > < G e m i n i   x m l n s = " h t t p : / / g e m i n i / p i v o t c u s t o m i z a t i o n / 4 e 3 8 4 f 8 a - 7 3 e 3 - 4 2 c d - 8 7 2 2 - b 4 3 2 c d 5 5 d d a 4 " > < 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C a l c u l a t e d F i e l d s > < S A H o s t H a s h > 0 < / S A H o s t H a s h > < G e m i n i F i e l d L i s t V i s i b l e > T r u e < / G e m i n i F i e l d L i s t V i s i b l e > < / S e t t i n g s > ] ] > < / C u s t o m C o n t e n t > < / G e m i n i > 
</file>

<file path=customXml/item19.xml>��< ? x m l   v e r s i o n = " 1 . 0 "   e n c o d i n g = " U T F - 1 6 " ? > < G e m i n i   x m l n s = " h t t p : / / g e m i n i / p i v o t c u s t o m i z a t i o n / F o r m u l a B a r S t a t e " > < C u s t o m C o n t e n t > < ! [ C D A T A [ < S a n d b o x E d i t o r . F o r m u l a B a r S t a t e   x m l n s = " h t t p : / / s c h e m a s . d a t a c o n t r a c t . o r g / 2 0 0 4 / 0 7 / M i c r o s o f t . A n a l y s i s S e r v i c e s . C o m m o n "   x m l n s : i = " h t t p : / / w w w . w 3 . o r g / 2 0 0 1 / X M L S c h e m a - i n s t a n c e " > < H e i g h t > 2 4 3 < / H e i g h t > < / S a n d b o x E d i t o r . F o r m u l a B a r S t a t e > ] ] > < / C u s t o m C o n t e n t > < / G e m i n i > 
</file>

<file path=customXml/item2.xml>��< ? x m l   v e r s i o n = " 1 . 0 "   e n c o d i n g = " U T F - 1 6 " ? > < G e m i n i   x m l n s = " h t t p : / / g e m i n i / p i v o t c u s t o m i z a t i o n / 4 3 b 0 2 e 7 9 - 7 0 1 b - 4 e 4 d - 8 7 0 d - 0 8 2 c 9 0 6 2 9 0 4 b " > < 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20.xml>��< ? x m l   v e r s i o n = " 1 . 0 "   e n c o d i n g = " U T F - 1 6 " ? > < G e m i n i   x m l n s = " h t t p : / / g e m i n i / p i v o t c u s t o m i z a t i o n / d d 6 0 a c 4 f - 2 5 1 4 - 4 d 8 d - b 6 5 e - b 4 6 2 9 1 a a 2 a 6 c " > < 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S h o w H i d d e n " > < C u s t o m C o n t e n t > < ! [ C D A T A [ T r u e ] ] > < / 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 T a g s \ T a b l e s \ & l t ; T a b l e s \ r a w _ d a t a & g t ; < / K e y > < / D i a g r a m O b j e c t K e y > < D i a g r a m O b j e c t K e y > < K e y > D y n a m i c   T a g s \ T a b l e s \ & l t ; T a b l e s \ u n e m p l y o m e n t _ r a t e & g t ; < / K e y > < / D i a g r a m O b j e c t K e y > < D i a g r a m O b j e c t K e y > < K e y > D y n a m i c   T a g s \ T a b l e s \ & l t ; T a b l e s \ b a n k _ l o a n _ d a t a & g t ; < / K e y > < / D i a g r a m O b j e c t K e y > < D i a g r a m O b j e c t K e y > < K e y > T a b l e s \ r a w _ d a t a < / K e y > < / D i a g r a m O b j e c t K e y > < D i a g r a m O b j e c t K e y > < K e y > T a b l e s \ r a w _ d a t a \ C o l u m n s \ C o n t e n t < / K e y > < / D i a g r a m O b j e c t K e y > < D i a g r a m O b j e c t K e y > < K e y > T a b l e s \ r a w _ d a t a \ C o l u m n s \ N a m e < / K e y > < / D i a g r a m O b j e c t K e y > < D i a g r a m O b j e c t K e y > < K e y > T a b l e s \ r a w _ d a t a \ C o l u m n s \ E x t e n s i o n < / K e y > < / D i a g r a m O b j e c t K e y > < D i a g r a m O b j e c t K e y > < K e y > T a b l e s \ r a w _ d a t a \ C o l u m n s \ D a t e   a c c e s s e d < / K e y > < / D i a g r a m O b j e c t K e y > < D i a g r a m O b j e c t K e y > < K e y > T a b l e s \ r a w _ d a t a \ C o l u m n s \ D a t e   m o d i f i e d < / K e y > < / D i a g r a m O b j e c t K e y > < D i a g r a m O b j e c t K e y > < K e y > T a b l e s \ r a w _ d a t a \ C o l u m n s \ D a t e   c r e a t e d < / K e y > < / D i a g r a m O b j e c t K e y > < D i a g r a m O b j e c t K e y > < K e y > T a b l e s \ r a w _ d a t a \ C o l u m n s \ F o l d e r   P a t h < / K e y > < / D i a g r a m O b j e c t K e y > < D i a g r a m O b j e c t K e y > < K e y > T a b l e s \ u n e m p l y o m e n t _ r a t e < / K e y > < / D i a g r a m O b j e c t K e y > < D i a g r a m O b j e c t K e y > < K e y > T a b l e s \ u n e m p l y o m e n t _ r a t e \ C o l u m n s \ s t a t e _ a b b r e v i a t i o n < / K e y > < / D i a g r a m O b j e c t K e y > < D i a g r a m O b j e c t K e y > < K e y > T a b l e s \ u n e m p l y o m e n t _ r a t e \ C o l u m n s \ N a m e < / K e y > < / D i a g r a m O b j e c t K e y > < D i a g r a m O b j e c t K e y > < K e y > T a b l e s \ u n e m p l y o m e n t _ r a t e \ C o l u m n s \ u n e m p l o y m e n t _ r a t e < / K e y > < / D i a g r a m O b j e c t K e y > < D i a g r a m O b j e c t K e y > < K e y > T a b l e s \ b a n k _ l o a n _ d a t a < / K e y > < / D i a g r a m O b j e c t K e y > < D i a g r a m O b j e c t K e y > < K e y > T a b l e s \ b a n k _ l o a n _ d a t a \ C o l u m n s \ i d < / K e y > < / D i a g r a m O b j e c t K e y > < D i a g r a m O b j e c t K e y > < K e y > T a b l e s \ b a n k _ l o a n _ d a t a \ C o l u m n s \ a d d r e s s _ s t a t e < / K e y > < / D i a g r a m O b j e c t K e y > < D i a g r a m O b j e c t K e y > < K e y > T a b l e s \ b a n k _ l o a n _ d a t a \ C o l u m n s \ a p p l i c a t i o n _ t y p e < / K e y > < / D i a g r a m O b j e c t K e y > < D i a g r a m O b j e c t K e y > < K e y > T a b l e s \ b a n k _ l o a n _ d a t a \ C o l u m n s \ e m p _ l e n g t h < / K e y > < / D i a g r a m O b j e c t K e y > < D i a g r a m O b j e c t K e y > < K e y > T a b l e s \ b a n k _ l o a n _ d a t a \ C o l u m n s \ e m p _ t i t l e < / K e y > < / D i a g r a m O b j e c t K e y > < D i a g r a m O b j e c t K e y > < K e y > T a b l e s \ b a n k _ l o a n _ d a t a \ C o l u m n s \ g r a d e < / K e y > < / D i a g r a m O b j e c t K e y > < D i a g r a m O b j e c t K e y > < K e y > T a b l e s \ b a n k _ l o a n _ d a t a \ C o l u m n s \ s u b _ g r a d e < / K e y > < / D i a g r a m O b j e c t K e y > < D i a g r a m O b j e c t K e y > < K e y > T a b l e s \ b a n k _ l o a n _ d a t a \ C o l u m n s \ h o m e _ o w n e r s h i p < / K e y > < / D i a g r a m O b j e c t K e y > < D i a g r a m O b j e c t K e y > < K e y > T a b l e s \ b a n k _ l o a n _ d a t a \ C o l u m n s \ i s s u e _ d a t e < / K e y > < / D i a g r a m O b j e c t K e y > < D i a g r a m O b j e c t K e y > < K e y > T a b l e s \ b a n k _ l o a n _ d a t a \ C o l u m n s \ l a s t _ c r e d i t _ p u l l _ d a t e < / K e y > < / D i a g r a m O b j e c t K e y > < D i a g r a m O b j e c t K e y > < K e y > T a b l e s \ b a n k _ l o a n _ d a t a \ C o l u m n s \ l a s t _ p a y m e n t _ d a t e < / K e y > < / D i a g r a m O b j e c t K e y > < D i a g r a m O b j e c t K e y > < K e y > T a b l e s \ b a n k _ l o a n _ d a t a \ C o l u m n s \ l o a n _ s t a t u s < / K e y > < / D i a g r a m O b j e c t K e y > < D i a g r a m O b j e c t K e y > < K e y > T a b l e s \ b a n k _ l o a n _ d a t a \ C o l u m n s \ L o a n   Q u a l i t y < / K e y > < / D i a g r a m O b j e c t K e y > < D i a g r a m O b j e c t K e y > < K e y > T a b l e s \ b a n k _ l o a n _ d a t a \ C o l u m n s \ n e x t _ p a y m e n t _ d a t e < / K e y > < / D i a g r a m O b j e c t K e y > < D i a g r a m O b j e c t K e y > < K e y > T a b l e s \ b a n k _ l o a n _ d a t a \ C o l u m n s \ m e m b e r _ i d < / K e y > < / D i a g r a m O b j e c t K e y > < D i a g r a m O b j e c t K e y > < K e y > T a b l e s \ b a n k _ l o a n _ d a t a \ C o l u m n s \ p u r p o s e < / K e y > < / D i a g r a m O b j e c t K e y > < D i a g r a m O b j e c t K e y > < K e y > T a b l e s \ b a n k _ l o a n _ d a t a \ C o l u m n s \ v e r i f i c a t i o n _ s t a t u s < / K e y > < / D i a g r a m O b j e c t K e y > < D i a g r a m O b j e c t K e y > < K e y > T a b l e s \ b a n k _ l o a n _ d a t a \ C o l u m n s \ t e r m _ m o n t h s < / K e y > < / D i a g r a m O b j e c t K e y > < D i a g r a m O b j e c t K e y > < K e y > T a b l e s \ b a n k _ l o a n _ d a t a \ C o l u m n s \ a n n u a l _ i n c o m e < / K e y > < / D i a g r a m O b j e c t K e y > < D i a g r a m O b j e c t K e y > < K e y > T a b l e s \ b a n k _ l o a n _ d a t a \ C o l u m n s \ d t i < / K e y > < / D i a g r a m O b j e c t K e y > < D i a g r a m O b j e c t K e y > < K e y > T a b l e s \ b a n k _ l o a n _ d a t a \ C o l u m n s \ i n s t a l l m e n t < / K e y > < / D i a g r a m O b j e c t K e y > < D i a g r a m O b j e c t K e y > < K e y > T a b l e s \ b a n k _ l o a n _ d a t a \ C o l u m n s \ i n t _ r a t e < / K e y > < / D i a g r a m O b j e c t K e y > < D i a g r a m O b j e c t K e y > < K e y > T a b l e s \ b a n k _ l o a n _ d a t a \ C o l u m n s \ l o a n _ a m o u n t < / K e y > < / D i a g r a m O b j e c t K e y > < D i a g r a m O b j e c t K e y > < K e y > T a b l e s \ b a n k _ l o a n _ d a t a \ C o l u m n s \ t o t a l _ a c c < / K e y > < / D i a g r a m O b j e c t K e y > < D i a g r a m O b j e c t K e y > < K e y > T a b l e s \ b a n k _ l o a n _ d a t a \ C o l u m n s \ t o t a l _ p a y m e n t < / K e y > < / D i a g r a m O b j e c t K e y > < D i a g r a m O b j e c t K e y > < K e y > T a b l e s \ b a n k _ l o a n _ d a t a \ C o l u m n s \ H i g h   D T I   F l a g < / K e y > < / D i a g r a m O b j e c t K e y > < D i a g r a m O b j e c t K e y > < K e y > T a b l e s \ b a n k _ l o a n _ d a t a \ C o l u m n s \ e x p e c t e d _ t o t a l _ p a y m e n t < / K e y > < / D i a g r a m O b j e c t K e y > < D i a g r a m O b j e c t K e y > < K e y > T a b l e s \ b a n k _ l o a n _ d a t a \ C o l u m n s \ i s s u e _ d a t e   ( M o n t h   I n d e x ) < / K e y > < / D i a g r a m O b j e c t K e y > < D i a g r a m O b j e c t K e y > < K e y > T a b l e s \ b a n k _ l o a n _ d a t a \ C o l u m n s \ i s s u e _ d a t e   ( M o n t h ) < / K e y > < / D i a g r a m O b j e c t K e y > < D i a g r a m O b j e c t K e y > < K e y > T a b l e s \ b a n k _ l o a n _ d a t a \ M e a s u r e s \ C o u n t   o f   e x p e c t e d _ t o t a l _ p a y m e n t < / K e y > < / D i a g r a m O b j e c t K e y > < D i a g r a m O b j e c t K e y > < K e y > T a b l e s \ b a n k _ l o a n _ d a t a \ C o u n t   o f   e x p e c t e d _ t o t a l _ p a y m e n t \ A d d i t i o n a l   I n f o \ I m p l i c i t   M e a s u r e < / K e y > < / D i a g r a m O b j e c t K e y > < D i a g r a m O b j e c t K e y > < K e y > T a b l e s \ b a n k _ l o a n _ d a t a \ M e a s u r e s \ C o u n t   o f   t o t a l _ p a y m e n t < / K e y > < / D i a g r a m O b j e c t K e y > < D i a g r a m O b j e c t K e y > < K e y > T a b l e s \ b a n k _ l o a n _ d a t a \ C o u n t   o f   t o t a l _ p a y m e n t \ A d d i t i o n a l   I n f o \ I m p l i c i t   M e a s u r e < / K e y > < / D i a g r a m O b j e c t K e y > < D i a g r a m O b j e c t K e y > < K e y > T a b l e s \ b a n k _ l o a n _ d a t a \ M e a s u r e s \ S u m   o f   t o t a l _ p a y m e n t < / K e y > < / D i a g r a m O b j e c t K e y > < D i a g r a m O b j e c t K e y > < K e y > T a b l e s \ b a n k _ l o a n _ d a t a \ S u m   o f   t o t a l _ p a y m e n t \ A d d i t i o n a l   I n f o \ I m p l i c i t   M e a s u r e < / K e y > < / D i a g r a m O b j e c t K e y > < D i a g r a m O b j e c t K e y > < K e y > T a b l e s \ b a n k _ l o a n _ d a t a \ M e a s u r e s \ S u m   o f   e x p e c t e d _ t o t a l _ p a y m e n t < / K e y > < / D i a g r a m O b j e c t K e y > < D i a g r a m O b j e c t K e y > < K e y > T a b l e s \ b a n k _ l o a n _ d a t a \ S u m   o f   e x p e c t e d _ t o t a l _ p a y m e n t \ A d d i t i o n a l   I n f o \ I m p l i c i t   M e a s u r e < / K e y > < / D i a g r a m O b j e c t K e y > < D i a g r a m O b j e c t K e y > < K e y > T a b l e s \ b a n k _ l o a n _ d a t a \ M e a s u r e s \ E x p e c t e d   L o a n   G r o w t h < / K e y > < / D i a g r a m O b j e c t K e y > < D i a g r a m O b j e c t K e y > < K e y > T a b l e s \ b a n k _ l o a n _ d a t a \ M e a s u r e s \ e x p e c t e d   t o t a l   p a y m e n t < / K e y > < / D i a g r a m O b j e c t K e y > < D i a g r a m O b j e c t K e y > < K e y > T a b l e s \ b a n k _ l o a n _ d a t a \ M e a s u r e s \ T o t a l   P a y m e n t < / K e y > < / D i a g r a m O b j e c t K e y > < D i a g r a m O b j e c t K e y > < K e y > T a b l e s \ b a n k _ l o a n _ d a t a \ M e a s u r e s \ T o t a l   D i s b u r s e d   L o a n s < / K e y > < / D i a g r a m O b j e c t K e y > < D i a g r a m O b j e c t K e y > < K e y > T a b l e s \ b a n k _ l o a n _ d a t a \ M e a s u r e s \ T o t a l   A m o u n t   D i s b u r s e d < / K e y > < / D i a g r a m O b j e c t K e y > < D i a g r a m O b j e c t K e y > < K e y > T a b l e s \ b a n k _ l o a n _ d a t a \ M e a s u r e s \ A v g   D T I < / K e y > < / D i a g r a m O b j e c t K e y > < D i a g r a m O b j e c t K e y > < K e y > T a b l e s \ b a n k _ l o a n _ d a t a \ M e a s u r e s \ A v g   I n t e r e s t   R a t e < / K e y > < / D i a g r a m O b j e c t K e y > < D i a g r a m O b j e c t K e y > < K e y > T a b l e s \ b a n k _ l o a n _ d a t a \ M e a s u r e s \ E x p e c t e d   p a i d   % < / K e y > < / D i a g r a m O b j e c t K e y > < D i a g r a m O b j e c t K e y > < K e y > R e l a t i o n s h i p s \ & l t ; T a b l e s \ b a n k _ l o a n _ d a t a \ C o l u m n s \ a d d r e s s _ s t a t e & g t ; - & l t ; T a b l e s \ u n e m p l y o m e n t _ r a t e \ C o l u m n s \ s t a t e _ a b b r e v i a t i o n & g t ; < / K e y > < / D i a g r a m O b j e c t K e y > < D i a g r a m O b j e c t K e y > < K e y > R e l a t i o n s h i p s \ & l t ; T a b l e s \ b a n k _ l o a n _ d a t a \ C o l u m n s \ a d d r e s s _ s t a t e & g t ; - & l t ; T a b l e s \ u n e m p l y o m e n t _ r a t e \ C o l u m n s \ s t a t e _ a b b r e v i a t i o n & g t ; \ F K < / K e y > < / D i a g r a m O b j e c t K e y > < D i a g r a m O b j e c t K e y > < K e y > R e l a t i o n s h i p s \ & l t ; T a b l e s \ b a n k _ l o a n _ d a t a \ C o l u m n s \ a d d r e s s _ s t a t e & g t ; - & l t ; T a b l e s \ u n e m p l y o m e n t _ r a t e \ C o l u m n s \ s t a t e _ a b b r e v i a t i o n & g t ; \ P K < / K e y > < / D i a g r a m O b j e c t K e y > < D i a g r a m O b j e c t K e y > < K e y > R e l a t i o n s h i p s \ & l t ; T a b l e s \ b a n k _ l o a n _ d a t a \ C o l u m n s \ a d d r e s s _ s t a t e & g t ; - & l t ; T a b l e s \ u n e m p l y o m e n t _ r a t e \ C o l u m n s \ s t a t e _ a b b r e v i a t i o n & g t ; \ C r o s s F i l t e r < / K e y > < / D i a g r a m O b j e c t K e y > < D i a g r a m O b j e c t K e y > < K e y > T a b l e s \ b a n k _ l o a n _ d a t a \ C o l u m n s \ R i s k F l a g < / K e y > < / D i a g r a m O b j e c t K e y > < / A l l K e y s > < S e l e c t e d K e y s > < D i a g r a m O b j e c t K e y > < K e y > R e l a t i o n s h i p s \ & l t ; T a b l e s \ b a n k _ l o a n _ d a t a \ C o l u m n s \ a d d r e s s _ s t a t e & g t ; - & l t ; T a b l e s \ u n e m p l y o m e n t _ r a t e \ C o l u m n s \ s t a t e _ a b b r e v i a t i o n & g t ; 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 T a g s \ T a b l e s \ & l t ; T a b l e s \ r a w _ d a t a & g t ; < / K e y > < / a : K e y > < a : V a l u e   i : t y p e = " D i a g r a m D i s p l a y T a g V i e w S t a t e " > < I s N o t F i l t e r e d O u t > t r u e < / I s N o t F i l t e r e d O u t > < / a : V a l u e > < / a : K e y V a l u e O f D i a g r a m O b j e c t K e y a n y T y p e z b w N T n L X > < a : K e y V a l u e O f D i a g r a m O b j e c t K e y a n y T y p e z b w N T n L X > < a : K e y > < K e y > D y n a m i c   T a g s \ T a b l e s \ & l t ; T a b l e s \ u n e m p l y o m e n t _ r a t e & g t ; < / K e y > < / a : K e y > < a : V a l u e   i : t y p e = " D i a g r a m D i s p l a y T a g V i e w S t a t e " > < I s N o t F i l t e r e d O u t > t r u e < / I s N o t F i l t e r e d O u t > < / a : V a l u e > < / a : K e y V a l u e O f D i a g r a m O b j e c t K e y a n y T y p e z b w N T n L X > < a : K e y V a l u e O f D i a g r a m O b j e c t K e y a n y T y p e z b w N T n L X > < a : K e y > < K e y > D y n a m i c   T a g s \ T a b l e s \ & l t ; T a b l e s \ b a n k _ l o a n _ d a t a & g t ; < / K e y > < / a : K e y > < a : V a l u e   i : t y p e = " D i a g r a m D i s p l a y T a g V i e w S t a t e " > < I s N o t F i l t e r e d O u t > t r u e < / I s N o t F i l t e r e d O u t > < / a : V a l u e > < / a : K e y V a l u e O f D i a g r a m O b j e c t K e y a n y T y p e z b w N T n L X > < a : K e y V a l u e O f D i a g r a m O b j e c t K e y a n y T y p e z b w N T n L X > < a : K e y > < K e y > T a b l e s \ r a w _ d a t a < / K e y > < / a : K e y > < a : V a l u e   i : t y p e = " D i a g r a m D i s p l a y N o d e V i e w S t a t e " > < H e i g h t > 5 0 < / H e i g h t > < I s E x p a n d e d > t r u e < / I s E x p a n d e d > < L a y e d O u t > t r u e < / L a y e d O u t > < L e f t > 1 1 9 9 . 6 0 0 0 0 0 0 0 0 0 0 0 1 < / L e f t > < T a b I n d e x > 1 < / T a b I n d e x > < W i d t h > 2 0 0 < / W i d t h > < / a : V a l u e > < / a : K e y V a l u e O f D i a g r a m O b j e c t K e y a n y T y p e z b w N T n L X > < a : K e y V a l u e O f D i a g r a m O b j e c t K e y a n y T y p e z b w N T n L X > < a : K e y > < K e y > T a b l e s \ r a w _ d a t a \ C o l u m n s \ C o n t e n t < / K e y > < / a : K e y > < a : V a l u e   i : t y p e = " D i a g r a m D i s p l a y N o d e V i e w S t a t e " > < H e i g h t > 1 5 0 < / H e i g h t > < I s E x p a n d e d > t r u e < / I s E x p a n d e d > < W i d t h > 2 0 0 < / W i d t h > < / a : V a l u e > < / a : K e y V a l u e O f D i a g r a m O b j e c t K e y a n y T y p e z b w N T n L X > < a : K e y V a l u e O f D i a g r a m O b j e c t K e y a n y T y p e z b w N T n L X > < a : K e y > < K e y > T a b l e s \ r a w _ d a t a \ C o l u m n s \ N a m e < / K e y > < / a : K e y > < a : V a l u e   i : t y p e = " D i a g r a m D i s p l a y N o d e V i e w S t a t e " > < H e i g h t > 1 5 0 < / H e i g h t > < I s E x p a n d e d > t r u e < / I s E x p a n d e d > < W i d t h > 2 0 0 < / W i d t h > < / a : V a l u e > < / a : K e y V a l u e O f D i a g r a m O b j e c t K e y a n y T y p e z b w N T n L X > < a : K e y V a l u e O f D i a g r a m O b j e c t K e y a n y T y p e z b w N T n L X > < a : K e y > < K e y > T a b l e s \ r a w _ d a t a \ C o l u m n s \ E x t e n s i o n < / K e y > < / a : K e y > < a : V a l u e   i : t y p e = " D i a g r a m D i s p l a y N o d e V i e w S t a t e " > < H e i g h t > 1 5 0 < / H e i g h t > < I s E x p a n d e d > t r u e < / I s E x p a n d e d > < W i d t h > 2 0 0 < / W i d t h > < / a : V a l u e > < / a : K e y V a l u e O f D i a g r a m O b j e c t K e y a n y T y p e z b w N T n L X > < a : K e y V a l u e O f D i a g r a m O b j e c t K e y a n y T y p e z b w N T n L X > < a : K e y > < K e y > T a b l e s \ r a w _ d a t a \ C o l u m n s \ D a t e   a c c e s s e d < / K e y > < / a : K e y > < a : V a l u e   i : t y p e = " D i a g r a m D i s p l a y N o d e V i e w S t a t e " > < H e i g h t > 1 5 0 < / H e i g h t > < I s E x p a n d e d > t r u e < / I s E x p a n d e d > < W i d t h > 2 0 0 < / W i d t h > < / a : V a l u e > < / a : K e y V a l u e O f D i a g r a m O b j e c t K e y a n y T y p e z b w N T n L X > < a : K e y V a l u e O f D i a g r a m O b j e c t K e y a n y T y p e z b w N T n L X > < a : K e y > < K e y > T a b l e s \ r a w _ d a t a \ C o l u m n s \ D a t e   m o d i f i e d < / K e y > < / a : K e y > < a : V a l u e   i : t y p e = " D i a g r a m D i s p l a y N o d e V i e w S t a t e " > < H e i g h t > 1 5 0 < / H e i g h t > < I s E x p a n d e d > t r u e < / I s E x p a n d e d > < W i d t h > 2 0 0 < / W i d t h > < / a : V a l u e > < / a : K e y V a l u e O f D i a g r a m O b j e c t K e y a n y T y p e z b w N T n L X > < a : K e y V a l u e O f D i a g r a m O b j e c t K e y a n y T y p e z b w N T n L X > < a : K e y > < K e y > T a b l e s \ r a w _ d a t a \ C o l u m n s \ D a t e   c r e a t e d < / K e y > < / a : K e y > < a : V a l u e   i : t y p e = " D i a g r a m D i s p l a y N o d e V i e w S t a t e " > < H e i g h t > 1 5 0 < / H e i g h t > < I s E x p a n d e d > t r u e < / I s E x p a n d e d > < W i d t h > 2 0 0 < / W i d t h > < / a : V a l u e > < / a : K e y V a l u e O f D i a g r a m O b j e c t K e y a n y T y p e z b w N T n L X > < a : K e y V a l u e O f D i a g r a m O b j e c t K e y a n y T y p e z b w N T n L X > < a : K e y > < K e y > T a b l e s \ r a w _ d a t a \ C o l u m n s \ F o l d e r   P a t h < / K e y > < / a : K e y > < a : V a l u e   i : t y p e = " D i a g r a m D i s p l a y N o d e V i e w S t a t e " > < H e i g h t > 1 5 0 < / H e i g h t > < I s E x p a n d e d > t r u e < / I s E x p a n d e d > < W i d t h > 2 0 0 < / W i d t h > < / a : V a l u e > < / a : K e y V a l u e O f D i a g r a m O b j e c t K e y a n y T y p e z b w N T n L X > < a : K e y V a l u e O f D i a g r a m O b j e c t K e y a n y T y p e z b w N T n L X > < a : K e y > < K e y > T a b l e s \ u n e m p l y o m e n t _ r a t e < / K e y > < / a : K e y > < a : V a l u e   i : t y p e = " D i a g r a m D i s p l a y N o d e V i e w S t a t e " > < H e i g h t > 1 4 7 . 5 9 9 9 9 9 9 9 9 9 9 9 9 7 < / H e i g h t > < I s E x p a n d e d > t r u e < / I s E x p a n d e d > < L a y e d O u t > t r u e < / L a y e d O u t > < L e f t > 2 5 1 . 5 0 3 8 1 0 5 6 7 6 6 5 7 7 < / L e f t > < T o p > 2 0 < / T o p > < W i d t h > 2 0 0 < / W i d t h > < / a : V a l u e > < / a : K e y V a l u e O f D i a g r a m O b j e c t K e y a n y T y p e z b w N T n L X > < a : K e y V a l u e O f D i a g r a m O b j e c t K e y a n y T y p e z b w N T n L X > < a : K e y > < K e y > T a b l e s \ u n e m p l y o m e n t _ r a t e \ C o l u m n s \ s t a t e _ a b b r e v i a t i o n < / K e y > < / a : K e y > < a : V a l u e   i : t y p e = " D i a g r a m D i s p l a y N o d e V i e w S t a t e " > < H e i g h t > 1 5 0 < / H e i g h t > < I s E x p a n d e d > t r u e < / I s E x p a n d e d > < W i d t h > 2 0 0 < / W i d t h > < / a : V a l u e > < / a : K e y V a l u e O f D i a g r a m O b j e c t K e y a n y T y p e z b w N T n L X > < a : K e y V a l u e O f D i a g r a m O b j e c t K e y a n y T y p e z b w N T n L X > < a : K e y > < K e y > T a b l e s \ u n e m p l y o m e n t _ r a t e \ C o l u m n s \ N a m e < / K e y > < / a : K e y > < a : V a l u e   i : t y p e = " D i a g r a m D i s p l a y N o d e V i e w S t a t e " > < H e i g h t > 1 5 0 < / H e i g h t > < I s E x p a n d e d > t r u e < / I s E x p a n d e d > < W i d t h > 2 0 0 < / W i d t h > < / a : V a l u e > < / a : K e y V a l u e O f D i a g r a m O b j e c t K e y a n y T y p e z b w N T n L X > < a : K e y V a l u e O f D i a g r a m O b j e c t K e y a n y T y p e z b w N T n L X > < a : K e y > < K e y > T a b l e s \ u n e m p l y o m e n t _ r a t e \ C o l u m n s \ u n e m p l o y m e n t _ r a t e < / K e y > < / a : K e y > < a : V a l u e   i : t y p e = " D i a g r a m D i s p l a y N o d e V i e w S t a t e " > < H e i g h t > 1 5 0 < / H e i g h t > < I s E x p a n d e d > t r u e < / I s E x p a n d e d > < W i d t h > 2 0 0 < / W i d t h > < / a : V a l u e > < / a : K e y V a l u e O f D i a g r a m O b j e c t K e y a n y T y p e z b w N T n L X > < a : K e y V a l u e O f D i a g r a m O b j e c t K e y a n y T y p e z b w N T n L X > < a : K e y > < K e y > T a b l e s \ b a n k _ l o a n _ d a t a < / K e y > < / a : K e y > < a : V a l u e   i : t y p e = " D i a g r a m D i s p l a y N o d e V i e w S t a t e " > < H e i g h t > 1 5 0 < / H e i g h t > < I s E x p a n d e d > t r u e < / I s E x p a n d e d > < L a y e d O u t > t r u e < / L a y e d O u t > < L e f t > 6 1 3 . 8 0 7 6 2 1 1 3 5 3 3 1 6 < / L e f t > < T a b I n d e x > 2 < / T a b I n d e x > < T o p > 1 2 1 . 2 0 0 0 0 0 0 0 0 0 0 0 0 5 < / T o p > < W i d t h > 2 0 0 < / W i d t h > < / a : V a l u e > < / a : K e y V a l u e O f D i a g r a m O b j e c t K e y a n y T y p e z b w N T n L X > < a : K e y V a l u e O f D i a g r a m O b j e c t K e y a n y T y p e z b w N T n L X > < a : K e y > < K e y > T a b l e s \ b a n k _ l o a n _ d a t a \ C o l u m n s \ i d < / K e y > < / a : K e y > < a : V a l u e   i : t y p e = " D i a g r a m D i s p l a y N o d e V i e w S t a t e " > < H e i g h t > 1 5 0 < / H e i g h t > < I s E x p a n d e d > t r u e < / I s E x p a n d e d > < W i d t h > 2 0 0 < / W i d t h > < / a : V a l u e > < / a : K e y V a l u e O f D i a g r a m O b j e c t K e y a n y T y p e z b w N T n L X > < a : K e y V a l u e O f D i a g r a m O b j e c t K e y a n y T y p e z b w N T n L X > < a : K e y > < K e y > T a b l e s \ b a n k _ l o a n _ d a t a \ C o l u m n s \ a d d r e s s _ s t a t e < / K e y > < / a : K e y > < a : V a l u e   i : t y p e = " D i a g r a m D i s p l a y N o d e V i e w S t a t e " > < H e i g h t > 1 5 0 < / H e i g h t > < I s E x p a n d e d > t r u e < / I s E x p a n d e d > < W i d t h > 2 0 0 < / W i d t h > < / a : V a l u e > < / a : K e y V a l u e O f D i a g r a m O b j e c t K e y a n y T y p e z b w N T n L X > < a : K e y V a l u e O f D i a g r a m O b j e c t K e y a n y T y p e z b w N T n L X > < a : K e y > < K e y > T a b l e s \ b a n k _ l o a n _ d a t a \ C o l u m n s \ a p p l i c a t i o n _ t y p e < / K e y > < / a : K e y > < a : V a l u e   i : t y p e = " D i a g r a m D i s p l a y N o d e V i e w S t a t e " > < H e i g h t > 1 5 0 < / H e i g h t > < I s E x p a n d e d > t r u e < / I s E x p a n d e d > < W i d t h > 2 0 0 < / W i d t h > < / a : V a l u e > < / a : K e y V a l u e O f D i a g r a m O b j e c t K e y a n y T y p e z b w N T n L X > < a : K e y V a l u e O f D i a g r a m O b j e c t K e y a n y T y p e z b w N T n L X > < a : K e y > < K e y > T a b l e s \ b a n k _ l o a n _ d a t a \ C o l u m n s \ e m p _ l e n g t h < / K e y > < / a : K e y > < a : V a l u e   i : t y p e = " D i a g r a m D i s p l a y N o d e V i e w S t a t e " > < H e i g h t > 1 5 0 < / H e i g h t > < I s E x p a n d e d > t r u e < / I s E x p a n d e d > < W i d t h > 2 0 0 < / W i d t h > < / a : V a l u e > < / a : K e y V a l u e O f D i a g r a m O b j e c t K e y a n y T y p e z b w N T n L X > < a : K e y V a l u e O f D i a g r a m O b j e c t K e y a n y T y p e z b w N T n L X > < a : K e y > < K e y > T a b l e s \ b a n k _ l o a n _ d a t a \ C o l u m n s \ e m p _ t i t l e < / K e y > < / a : K e y > < a : V a l u e   i : t y p e = " D i a g r a m D i s p l a y N o d e V i e w S t a t e " > < H e i g h t > 1 5 0 < / H e i g h t > < I s E x p a n d e d > t r u e < / I s E x p a n d e d > < W i d t h > 2 0 0 < / W i d t h > < / a : V a l u e > < / a : K e y V a l u e O f D i a g r a m O b j e c t K e y a n y T y p e z b w N T n L X > < a : K e y V a l u e O f D i a g r a m O b j e c t K e y a n y T y p e z b w N T n L X > < a : K e y > < K e y > T a b l e s \ b a n k _ l o a n _ d a t a \ C o l u m n s \ g r a d e < / K e y > < / a : K e y > < a : V a l u e   i : t y p e = " D i a g r a m D i s p l a y N o d e V i e w S t a t e " > < H e i g h t > 1 5 0 < / H e i g h t > < I s E x p a n d e d > t r u e < / I s E x p a n d e d > < W i d t h > 2 0 0 < / W i d t h > < / a : V a l u e > < / a : K e y V a l u e O f D i a g r a m O b j e c t K e y a n y T y p e z b w N T n L X > < a : K e y V a l u e O f D i a g r a m O b j e c t K e y a n y T y p e z b w N T n L X > < a : K e y > < K e y > T a b l e s \ b a n k _ l o a n _ d a t a \ C o l u m n s \ s u b _ g r a d e < / K e y > < / a : K e y > < a : V a l u e   i : t y p e = " D i a g r a m D i s p l a y N o d e V i e w S t a t e " > < H e i g h t > 1 5 0 < / H e i g h t > < I s E x p a n d e d > t r u e < / I s E x p a n d e d > < W i d t h > 2 0 0 < / W i d t h > < / a : V a l u e > < / a : K e y V a l u e O f D i a g r a m O b j e c t K e y a n y T y p e z b w N T n L X > < a : K e y V a l u e O f D i a g r a m O b j e c t K e y a n y T y p e z b w N T n L X > < a : K e y > < K e y > T a b l e s \ b a n k _ l o a n _ d a t a \ C o l u m n s \ h o m e _ o w n e r s h i p < / K e y > < / a : K e y > < a : V a l u e   i : t y p e = " D i a g r a m D i s p l a y N o d e V i e w S t a t e " > < H e i g h t > 1 5 0 < / H e i g h t > < I s E x p a n d e d > t r u e < / I s E x p a n d e d > < W i d t h > 2 0 0 < / W i d t h > < / a : V a l u e > < / a : K e y V a l u e O f D i a g r a m O b j e c t K e y a n y T y p e z b w N T n L X > < a : K e y V a l u e O f D i a g r a m O b j e c t K e y a n y T y p e z b w N T n L X > < a : K e y > < K e y > T a b l e s \ b a n k _ l o a n _ d a t a \ C o l u m n s \ i s s u e _ d a t e < / K e y > < / a : K e y > < a : V a l u e   i : t y p e = " D i a g r a m D i s p l a y N o d e V i e w S t a t e " > < H e i g h t > 1 5 0 < / H e i g h t > < I s E x p a n d e d > t r u e < / I s E x p a n d e d > < W i d t h > 2 0 0 < / W i d t h > < / a : V a l u e > < / a : K e y V a l u e O f D i a g r a m O b j e c t K e y a n y T y p e z b w N T n L X > < a : K e y V a l u e O f D i a g r a m O b j e c t K e y a n y T y p e z b w N T n L X > < a : K e y > < K e y > T a b l e s \ b a n k _ l o a n _ d a t a \ C o l u m n s \ l a s t _ c r e d i t _ p u l l _ d a t e < / K e y > < / a : K e y > < a : V a l u e   i : t y p e = " D i a g r a m D i s p l a y N o d e V i e w S t a t e " > < H e i g h t > 1 5 0 < / H e i g h t > < I s E x p a n d e d > t r u e < / I s E x p a n d e d > < W i d t h > 2 0 0 < / W i d t h > < / a : V a l u e > < / a : K e y V a l u e O f D i a g r a m O b j e c t K e y a n y T y p e z b w N T n L X > < a : K e y V a l u e O f D i a g r a m O b j e c t K e y a n y T y p e z b w N T n L X > < a : K e y > < K e y > T a b l e s \ b a n k _ l o a n _ d a t a \ C o l u m n s \ l a s t _ p a y m e n t _ d a t e < / K e y > < / a : K e y > < a : V a l u e   i : t y p e = " D i a g r a m D i s p l a y N o d e V i e w S t a t e " > < H e i g h t > 1 5 0 < / H e i g h t > < I s E x p a n d e d > t r u e < / I s E x p a n d e d > < W i d t h > 2 0 0 < / W i d t h > < / a : V a l u e > < / a : K e y V a l u e O f D i a g r a m O b j e c t K e y a n y T y p e z b w N T n L X > < a : K e y V a l u e O f D i a g r a m O b j e c t K e y a n y T y p e z b w N T n L X > < a : K e y > < K e y > T a b l e s \ b a n k _ l o a n _ d a t a \ C o l u m n s \ l o a n _ s t a t u s < / K e y > < / a : K e y > < a : V a l u e   i : t y p e = " D i a g r a m D i s p l a y N o d e V i e w S t a t e " > < H e i g h t > 1 5 0 < / H e i g h t > < I s E x p a n d e d > t r u e < / I s E x p a n d e d > < W i d t h > 2 0 0 < / W i d t h > < / a : V a l u e > < / a : K e y V a l u e O f D i a g r a m O b j e c t K e y a n y T y p e z b w N T n L X > < a : K e y V a l u e O f D i a g r a m O b j e c t K e y a n y T y p e z b w N T n L X > < a : K e y > < K e y > T a b l e s \ b a n k _ l o a n _ d a t a \ C o l u m n s \ L o a n   Q u a l i t y < / K e y > < / a : K e y > < a : V a l u e   i : t y p e = " D i a g r a m D i s p l a y N o d e V i e w S t a t e " > < H e i g h t > 1 5 0 < / H e i g h t > < I s E x p a n d e d > t r u e < / I s E x p a n d e d > < W i d t h > 2 0 0 < / W i d t h > < / a : V a l u e > < / a : K e y V a l u e O f D i a g r a m O b j e c t K e y a n y T y p e z b w N T n L X > < a : K e y V a l u e O f D i a g r a m O b j e c t K e y a n y T y p e z b w N T n L X > < a : K e y > < K e y > T a b l e s \ b a n k _ l o a n _ d a t a \ C o l u m n s \ n e x t _ p a y m e n t _ d a t e < / K e y > < / a : K e y > < a : V a l u e   i : t y p e = " D i a g r a m D i s p l a y N o d e V i e w S t a t e " > < H e i g h t > 1 5 0 < / H e i g h t > < I s E x p a n d e d > t r u e < / I s E x p a n d e d > < W i d t h > 2 0 0 < / W i d t h > < / a : V a l u e > < / a : K e y V a l u e O f D i a g r a m O b j e c t K e y a n y T y p e z b w N T n L X > < a : K e y V a l u e O f D i a g r a m O b j e c t K e y a n y T y p e z b w N T n L X > < a : K e y > < K e y > T a b l e s \ b a n k _ l o a n _ d a t a \ C o l u m n s \ m e m b e r _ i d < / K e y > < / a : K e y > < a : V a l u e   i : t y p e = " D i a g r a m D i s p l a y N o d e V i e w S t a t e " > < H e i g h t > 1 5 0 < / H e i g h t > < I s E x p a n d e d > t r u e < / I s E x p a n d e d > < W i d t h > 2 0 0 < / W i d t h > < / a : V a l u e > < / a : K e y V a l u e O f D i a g r a m O b j e c t K e y a n y T y p e z b w N T n L X > < a : K e y V a l u e O f D i a g r a m O b j e c t K e y a n y T y p e z b w N T n L X > < a : K e y > < K e y > T a b l e s \ b a n k _ l o a n _ d a t a \ C o l u m n s \ p u r p o s e < / K e y > < / a : K e y > < a : V a l u e   i : t y p e = " D i a g r a m D i s p l a y N o d e V i e w S t a t e " > < H e i g h t > 1 5 0 < / H e i g h t > < I s E x p a n d e d > t r u e < / I s E x p a n d e d > < W i d t h > 2 0 0 < / W i d t h > < / a : V a l u e > < / a : K e y V a l u e O f D i a g r a m O b j e c t K e y a n y T y p e z b w N T n L X > < a : K e y V a l u e O f D i a g r a m O b j e c t K e y a n y T y p e z b w N T n L X > < a : K e y > < K e y > T a b l e s \ b a n k _ l o a n _ d a t a \ C o l u m n s \ v e r i f i c a t i o n _ s t a t u s < / K e y > < / a : K e y > < a : V a l u e   i : t y p e = " D i a g r a m D i s p l a y N o d e V i e w S t a t e " > < H e i g h t > 1 5 0 < / H e i g h t > < I s E x p a n d e d > t r u e < / I s E x p a n d e d > < W i d t h > 2 0 0 < / W i d t h > < / a : V a l u e > < / a : K e y V a l u e O f D i a g r a m O b j e c t K e y a n y T y p e z b w N T n L X > < a : K e y V a l u e O f D i a g r a m O b j e c t K e y a n y T y p e z b w N T n L X > < a : K e y > < K e y > T a b l e s \ b a n k _ l o a n _ d a t a \ C o l u m n s \ t e r m _ m o n t h s < / K e y > < / a : K e y > < a : V a l u e   i : t y p e = " D i a g r a m D i s p l a y N o d e V i e w S t a t e " > < H e i g h t > 1 5 0 < / H e i g h t > < I s E x p a n d e d > t r u e < / I s E x p a n d e d > < W i d t h > 2 0 0 < / W i d t h > < / a : V a l u e > < / a : K e y V a l u e O f D i a g r a m O b j e c t K e y a n y T y p e z b w N T n L X > < a : K e y V a l u e O f D i a g r a m O b j e c t K e y a n y T y p e z b w N T n L X > < a : K e y > < K e y > T a b l e s \ b a n k _ l o a n _ d a t a \ C o l u m n s \ a n n u a l _ i n c o m e < / K e y > < / a : K e y > < a : V a l u e   i : t y p e = " D i a g r a m D i s p l a y N o d e V i e w S t a t e " > < H e i g h t > 1 5 0 < / H e i g h t > < I s E x p a n d e d > t r u e < / I s E x p a n d e d > < W i d t h > 2 0 0 < / W i d t h > < / a : V a l u e > < / a : K e y V a l u e O f D i a g r a m O b j e c t K e y a n y T y p e z b w N T n L X > < a : K e y V a l u e O f D i a g r a m O b j e c t K e y a n y T y p e z b w N T n L X > < a : K e y > < K e y > T a b l e s \ b a n k _ l o a n _ d a t a \ C o l u m n s \ d t i < / K e y > < / a : K e y > < a : V a l u e   i : t y p e = " D i a g r a m D i s p l a y N o d e V i e w S t a t e " > < H e i g h t > 1 5 0 < / H e i g h t > < I s E x p a n d e d > t r u e < / I s E x p a n d e d > < W i d t h > 2 0 0 < / W i d t h > < / a : V a l u e > < / a : K e y V a l u e O f D i a g r a m O b j e c t K e y a n y T y p e z b w N T n L X > < a : K e y V a l u e O f D i a g r a m O b j e c t K e y a n y T y p e z b w N T n L X > < a : K e y > < K e y > T a b l e s \ b a n k _ l o a n _ d a t a \ C o l u m n s \ i n s t a l l m e n t < / K e y > < / a : K e y > < a : V a l u e   i : t y p e = " D i a g r a m D i s p l a y N o d e V i e w S t a t e " > < H e i g h t > 1 5 0 < / H e i g h t > < I s E x p a n d e d > t r u e < / I s E x p a n d e d > < W i d t h > 2 0 0 < / W i d t h > < / a : V a l u e > < / a : K e y V a l u e O f D i a g r a m O b j e c t K e y a n y T y p e z b w N T n L X > < a : K e y V a l u e O f D i a g r a m O b j e c t K e y a n y T y p e z b w N T n L X > < a : K e y > < K e y > T a b l e s \ b a n k _ l o a n _ d a t a \ C o l u m n s \ i n t _ r a t e < / K e y > < / a : K e y > < a : V a l u e   i : t y p e = " D i a g r a m D i s p l a y N o d e V i e w S t a t e " > < H e i g h t > 1 5 0 < / H e i g h t > < I s E x p a n d e d > t r u e < / I s E x p a n d e d > < W i d t h > 2 0 0 < / W i d t h > < / a : V a l u e > < / a : K e y V a l u e O f D i a g r a m O b j e c t K e y a n y T y p e z b w N T n L X > < a : K e y V a l u e O f D i a g r a m O b j e c t K e y a n y T y p e z b w N T n L X > < a : K e y > < K e y > T a b l e s \ b a n k _ l o a n _ d a t a \ C o l u m n s \ l o a n _ a m o u n t < / K e y > < / a : K e y > < a : V a l u e   i : t y p e = " D i a g r a m D i s p l a y N o d e V i e w S t a t e " > < H e i g h t > 1 5 0 < / H e i g h t > < I s E x p a n d e d > t r u e < / I s E x p a n d e d > < W i d t h > 2 0 0 < / W i d t h > < / a : V a l u e > < / a : K e y V a l u e O f D i a g r a m O b j e c t K e y a n y T y p e z b w N T n L X > < a : K e y V a l u e O f D i a g r a m O b j e c t K e y a n y T y p e z b w N T n L X > < a : K e y > < K e y > T a b l e s \ b a n k _ l o a n _ d a t a \ C o l u m n s \ t o t a l _ a c c < / K e y > < / a : K e y > < a : V a l u e   i : t y p e = " D i a g r a m D i s p l a y N o d e V i e w S t a t e " > < H e i g h t > 1 5 0 < / H e i g h t > < I s E x p a n d e d > t r u e < / I s E x p a n d e d > < W i d t h > 2 0 0 < / W i d t h > < / a : V a l u e > < / a : K e y V a l u e O f D i a g r a m O b j e c t K e y a n y T y p e z b w N T n L X > < a : K e y V a l u e O f D i a g r a m O b j e c t K e y a n y T y p e z b w N T n L X > < a : K e y > < K e y > T a b l e s \ b a n k _ l o a n _ d a t a \ C o l u m n s \ t o t a l _ p a y m e n t < / K e y > < / a : K e y > < a : V a l u e   i : t y p e = " D i a g r a m D i s p l a y N o d e V i e w S t a t e " > < H e i g h t > 1 5 0 < / H e i g h t > < I s E x p a n d e d > t r u e < / I s E x p a n d e d > < W i d t h > 2 0 0 < / W i d t h > < / a : V a l u e > < / a : K e y V a l u e O f D i a g r a m O b j e c t K e y a n y T y p e z b w N T n L X > < a : K e y V a l u e O f D i a g r a m O b j e c t K e y a n y T y p e z b w N T n L X > < a : K e y > < K e y > T a b l e s \ b a n k _ l o a n _ d a t a \ C o l u m n s \ H i g h   D T I   F l a g < / K e y > < / a : K e y > < a : V a l u e   i : t y p e = " D i a g r a m D i s p l a y N o d e V i e w S t a t e " > < H e i g h t > 1 5 0 < / H e i g h t > < I s E x p a n d e d > t r u e < / I s E x p a n d e d > < W i d t h > 2 0 0 < / W i d t h > < / a : V a l u e > < / a : K e y V a l u e O f D i a g r a m O b j e c t K e y a n y T y p e z b w N T n L X > < a : K e y V a l u e O f D i a g r a m O b j e c t K e y a n y T y p e z b w N T n L X > < a : K e y > < K e y > T a b l e s \ b a n k _ l o a n _ d a t a \ C o l u m n s \ e x p e c t e d _ t o t a l _ p a y m e n t < / K e y > < / a : K e y > < a : V a l u e   i : t y p e = " D i a g r a m D i s p l a y N o d e V i e w S t a t e " > < H e i g h t > 1 5 0 < / H e i g h t > < I s E x p a n d e d > t r u e < / I s E x p a n d e d > < W i d t h > 2 0 0 < / W i d t h > < / a : V a l u e > < / a : K e y V a l u e O f D i a g r a m O b j e c t K e y a n y T y p e z b w N T n L X > < a : K e y V a l u e O f D i a g r a m O b j e c t K e y a n y T y p e z b w N T n L X > < a : K e y > < K e y > T a b l e s \ b a n k _ l o a n _ d a t a \ C o l u m n s \ i s s u e _ d a t e   ( M o n t h   I n d e x ) < / K e y > < / a : K e y > < a : V a l u e   i : t y p e = " D i a g r a m D i s p l a y N o d e V i e w S t a t e " > < H e i g h t > 1 5 0 < / H e i g h t > < I s E x p a n d e d > t r u e < / I s E x p a n d e d > < W i d t h > 2 0 0 < / W i d t h > < / a : V a l u e > < / a : K e y V a l u e O f D i a g r a m O b j e c t K e y a n y T y p e z b w N T n L X > < a : K e y V a l u e O f D i a g r a m O b j e c t K e y a n y T y p e z b w N T n L X > < a : K e y > < K e y > T a b l e s \ b a n k _ l o a n _ d a t a \ C o l u m n s \ i s s u e _ d a t e   ( M o n t h ) < / K e y > < / a : K e y > < a : V a l u e   i : t y p e = " D i a g r a m D i s p l a y N o d e V i e w S t a t e " > < H e i g h t > 1 5 0 < / H e i g h t > < I s E x p a n d e d > t r u e < / I s E x p a n d e d > < W i d t h > 2 0 0 < / W i d t h > < / a : V a l u e > < / a : K e y V a l u e O f D i a g r a m O b j e c t K e y a n y T y p e z b w N T n L X > < a : K e y V a l u e O f D i a g r a m O b j e c t K e y a n y T y p e z b w N T n L X > < a : K e y > < K e y > T a b l e s \ b a n k _ l o a n _ d a t a \ M e a s u r e s \ C o u n t   o f   e x p e c t e d _ t o t a l _ p a y m e n t < / K e y > < / a : K e y > < a : V a l u e   i : t y p e = " D i a g r a m D i s p l a y N o d e V i e w S t a t e " > < H e i g h t > 1 5 0 < / H e i g h t > < I s E x p a n d e d > t r u e < / I s E x p a n d e d > < W i d t h > 2 0 0 < / W i d t h > < / a : V a l u e > < / a : K e y V a l u e O f D i a g r a m O b j e c t K e y a n y T y p e z b w N T n L X > < a : K e y V a l u e O f D i a g r a m O b j e c t K e y a n y T y p e z b w N T n L X > < a : K e y > < K e y > T a b l e s \ b a n k _ l o a n _ d a t a \ C o u n t   o f   e x p e c t e d _ t o t a l _ p a y m e n t \ A d d i t i o n a l   I n f o \ I m p l i c i t   M e a s u r e < / K e y > < / a : K e y > < a : V a l u e   i : t y p e = " D i a g r a m D i s p l a y V i e w S t a t e I D i a g r a m T a g A d d i t i o n a l I n f o " / > < / a : K e y V a l u e O f D i a g r a m O b j e c t K e y a n y T y p e z b w N T n L X > < a : K e y V a l u e O f D i a g r a m O b j e c t K e y a n y T y p e z b w N T n L X > < a : K e y > < K e y > T a b l e s \ b a n k _ l o a n _ d a t a \ M e a s u r e s \ C o u n t   o f   t o t a l _ p a y m e n t < / K e y > < / a : K e y > < a : V a l u e   i : t y p e = " D i a g r a m D i s p l a y N o d e V i e w S t a t e " > < H e i g h t > 1 5 0 < / H e i g h t > < I s E x p a n d e d > t r u e < / I s E x p a n d e d > < W i d t h > 2 0 0 < / W i d t h > < / a : V a l u e > < / a : K e y V a l u e O f D i a g r a m O b j e c t K e y a n y T y p e z b w N T n L X > < a : K e y V a l u e O f D i a g r a m O b j e c t K e y a n y T y p e z b w N T n L X > < a : K e y > < K e y > T a b l e s \ b a n k _ l o a n _ d a t a \ C o u n t   o f   t o t a l _ p a y m e n t \ A d d i t i o n a l   I n f o \ I m p l i c i t   M e a s u r e < / K e y > < / a : K e y > < a : V a l u e   i : t y p e = " D i a g r a m D i s p l a y V i e w S t a t e I D i a g r a m T a g A d d i t i o n a l I n f o " / > < / a : K e y V a l u e O f D i a g r a m O b j e c t K e y a n y T y p e z b w N T n L X > < a : K e y V a l u e O f D i a g r a m O b j e c t K e y a n y T y p e z b w N T n L X > < a : K e y > < K e y > T a b l e s \ b a n k _ l o a n _ d a t a \ M e a s u r e s \ S u m   o f   t o t a l _ p a y m e n t < / K e y > < / a : K e y > < a : V a l u e   i : t y p e = " D i a g r a m D i s p l a y N o d e V i e w S t a t e " > < H e i g h t > 1 5 0 < / H e i g h t > < I s E x p a n d e d > t r u e < / I s E x p a n d e d > < W i d t h > 2 0 0 < / W i d t h > < / a : V a l u e > < / a : K e y V a l u e O f D i a g r a m O b j e c t K e y a n y T y p e z b w N T n L X > < a : K e y V a l u e O f D i a g r a m O b j e c t K e y a n y T y p e z b w N T n L X > < a : K e y > < K e y > T a b l e s \ b a n k _ l o a n _ d a t a \ S u m   o f   t o t a l _ p a y m e n t \ A d d i t i o n a l   I n f o \ I m p l i c i t   M e a s u r e < / K e y > < / a : K e y > < a : V a l u e   i : t y p e = " D i a g r a m D i s p l a y V i e w S t a t e I D i a g r a m T a g A d d i t i o n a l I n f o " / > < / a : K e y V a l u e O f D i a g r a m O b j e c t K e y a n y T y p e z b w N T n L X > < a : K e y V a l u e O f D i a g r a m O b j e c t K e y a n y T y p e z b w N T n L X > < a : K e y > < K e y > T a b l e s \ b a n k _ l o a n _ d a t a \ M e a s u r e s \ S u m   o f   e x p e c t e d _ t o t a l _ p a y m e n t < / K e y > < / a : K e y > < a : V a l u e   i : t y p e = " D i a g r a m D i s p l a y N o d e V i e w S t a t e " > < H e i g h t > 1 5 0 < / H e i g h t > < I s E x p a n d e d > t r u e < / I s E x p a n d e d > < W i d t h > 2 0 0 < / W i d t h > < / a : V a l u e > < / a : K e y V a l u e O f D i a g r a m O b j e c t K e y a n y T y p e z b w N T n L X > < a : K e y V a l u e O f D i a g r a m O b j e c t K e y a n y T y p e z b w N T n L X > < a : K e y > < K e y > T a b l e s \ b a n k _ l o a n _ d a t a \ S u m   o f   e x p e c t e d _ t o t a l _ p a y m e n t \ A d d i t i o n a l   I n f o \ I m p l i c i t   M e a s u r e < / K e y > < / a : K e y > < a : V a l u e   i : t y p e = " D i a g r a m D i s p l a y V i e w S t a t e I D i a g r a m T a g A d d i t i o n a l I n f o " / > < / a : K e y V a l u e O f D i a g r a m O b j e c t K e y a n y T y p e z b w N T n L X > < a : K e y V a l u e O f D i a g r a m O b j e c t K e y a n y T y p e z b w N T n L X > < a : K e y > < K e y > T a b l e s \ b a n k _ l o a n _ d a t a \ M e a s u r e s \ E x p e c t e d   L o a n   G r o w t h < / K e y > < / a : K e y > < a : V a l u e   i : t y p e = " D i a g r a m D i s p l a y N o d e V i e w S t a t e " > < H e i g h t > 1 5 0 < / H e i g h t > < I s E x p a n d e d > t r u e < / I s E x p a n d e d > < W i d t h > 2 0 0 < / W i d t h > < / a : V a l u e > < / a : K e y V a l u e O f D i a g r a m O b j e c t K e y a n y T y p e z b w N T n L X > < a : K e y V a l u e O f D i a g r a m O b j e c t K e y a n y T y p e z b w N T n L X > < a : K e y > < K e y > T a b l e s \ b a n k _ l o a n _ d a t a \ M e a s u r e s \ e x p e c t e d   t o t a l   p a y m e n t < / K e y > < / a : K e y > < a : V a l u e   i : t y p e = " D i a g r a m D i s p l a y N o d e V i e w S t a t e " > < H e i g h t > 1 5 0 < / H e i g h t > < I s E x p a n d e d > t r u e < / I s E x p a n d e d > < W i d t h > 2 0 0 < / W i d t h > < / a : V a l u e > < / a : K e y V a l u e O f D i a g r a m O b j e c t K e y a n y T y p e z b w N T n L X > < a : K e y V a l u e O f D i a g r a m O b j e c t K e y a n y T y p e z b w N T n L X > < a : K e y > < K e y > T a b l e s \ b a n k _ l o a n _ d a t a \ M e a s u r e s \ T o t a l   P a y m e n t < / K e y > < / a : K e y > < a : V a l u e   i : t y p e = " D i a g r a m D i s p l a y N o d e V i e w S t a t e " > < H e i g h t > 1 5 0 < / H e i g h t > < I s E x p a n d e d > t r u e < / I s E x p a n d e d > < W i d t h > 2 0 0 < / W i d t h > < / a : V a l u e > < / a : K e y V a l u e O f D i a g r a m O b j e c t K e y a n y T y p e z b w N T n L X > < a : K e y V a l u e O f D i a g r a m O b j e c t K e y a n y T y p e z b w N T n L X > < a : K e y > < K e y > T a b l e s \ b a n k _ l o a n _ d a t a \ M e a s u r e s \ T o t a l   D i s b u r s e d   L o a n s < / K e y > < / a : K e y > < a : V a l u e   i : t y p e = " D i a g r a m D i s p l a y N o d e V i e w S t a t e " > < H e i g h t > 1 5 0 < / H e i g h t > < I s E x p a n d e d > t r u e < / I s E x p a n d e d > < W i d t h > 2 0 0 < / W i d t h > < / a : V a l u e > < / a : K e y V a l u e O f D i a g r a m O b j e c t K e y a n y T y p e z b w N T n L X > < a : K e y V a l u e O f D i a g r a m O b j e c t K e y a n y T y p e z b w N T n L X > < a : K e y > < K e y > T a b l e s \ b a n k _ l o a n _ d a t a \ M e a s u r e s \ T o t a l   A m o u n t   D i s b u r s e d < / K e y > < / a : K e y > < a : V a l u e   i : t y p e = " D i a g r a m D i s p l a y N o d e V i e w S t a t e " > < H e i g h t > 1 5 0 < / H e i g h t > < I s E x p a n d e d > t r u e < / I s E x p a n d e d > < W i d t h > 2 0 0 < / W i d t h > < / a : V a l u e > < / a : K e y V a l u e O f D i a g r a m O b j e c t K e y a n y T y p e z b w N T n L X > < a : K e y V a l u e O f D i a g r a m O b j e c t K e y a n y T y p e z b w N T n L X > < a : K e y > < K e y > T a b l e s \ b a n k _ l o a n _ d a t a \ M e a s u r e s \ A v g   D T I < / K e y > < / a : K e y > < a : V a l u e   i : t y p e = " D i a g r a m D i s p l a y N o d e V i e w S t a t e " > < H e i g h t > 1 5 0 < / H e i g h t > < I s E x p a n d e d > t r u e < / I s E x p a n d e d > < W i d t h > 2 0 0 < / W i d t h > < / a : V a l u e > < / a : K e y V a l u e O f D i a g r a m O b j e c t K e y a n y T y p e z b w N T n L X > < a : K e y V a l u e O f D i a g r a m O b j e c t K e y a n y T y p e z b w N T n L X > < a : K e y > < K e y > T a b l e s \ b a n k _ l o a n _ d a t a \ M e a s u r e s \ A v g   I n t e r e s t   R a t e < / K e y > < / a : K e y > < a : V a l u e   i : t y p e = " D i a g r a m D i s p l a y N o d e V i e w S t a t e " > < H e i g h t > 1 5 0 < / H e i g h t > < I s E x p a n d e d > t r u e < / I s E x p a n d e d > < W i d t h > 2 0 0 < / W i d t h > < / a : V a l u e > < / a : K e y V a l u e O f D i a g r a m O b j e c t K e y a n y T y p e z b w N T n L X > < a : K e y V a l u e O f D i a g r a m O b j e c t K e y a n y T y p e z b w N T n L X > < a : K e y > < K e y > T a b l e s \ b a n k _ l o a n _ d a t a \ M e a s u r e s \ E x p e c t e d   p a i d   % < / K e y > < / a : K e y > < a : V a l u e   i : t y p e = " D i a g r a m D i s p l a y N o d e V i e w S t a t e " > < H e i g h t > 1 5 0 < / H e i g h t > < I s E x p a n d e d > t r u e < / I s E x p a n d e d > < W i d t h > 2 0 0 < / W i d t h > < / a : V a l u e > < / a : K e y V a l u e O f D i a g r a m O b j e c t K e y a n y T y p e z b w N T n L X > < a : K e y V a l u e O f D i a g r a m O b j e c t K e y a n y T y p e z b w N T n L X > < a : K e y > < K e y > R e l a t i o n s h i p s \ & l t ; T a b l e s \ b a n k _ l o a n _ d a t a \ C o l u m n s \ a d d r e s s _ s t a t e & g t ; - & l t ; T a b l e s \ u n e m p l y o m e n t _ r a t e \ C o l u m n s \ s t a t e _ a b b r e v i a t i o n & g t ; < / K e y > < / a : K e y > < a : V a l u e   i : t y p e = " D i a g r a m D i s p l a y L i n k V i e w S t a t e " > < A u t o m a t i o n P r o p e r t y H e l p e r T e x t > E n d   p o i n t   1 :   ( 5 9 7 . 8 0 7 6 2 1 1 3 5 3 3 2 , 1 9 6 . 2 ) .   E n d   p o i n t   2 :   ( 4 6 7 . 5 0 3 8 1 0 5 6 7 6 6 6 , 9 3 . 8 )   < / A u t o m a t i o n P r o p e r t y H e l p e r T e x t > < L a y e d O u t > t r u e < / L a y e d O u t > < P o i n t s   x m l n s : b = " h t t p : / / s c h e m a s . d a t a c o n t r a c t . o r g / 2 0 0 4 / 0 7 / S y s t e m . W i n d o w s " > < b : P o i n t > < b : _ x > 5 9 7 . 8 0 7 6 2 1 1 3 5 3 3 1 6 < / b : _ x > < b : _ y > 1 9 6 . 2 < / b : _ y > < / b : P o i n t > < b : P o i n t > < b : _ x > 5 3 4 . 6 5 5 7 1 6 < / b : _ x > < b : _ y > 1 9 6 . 2 < / b : _ y > < / b : P o i n t > < b : P o i n t > < b : _ x > 5 3 2 . 6 5 5 7 1 6 < / b : _ x > < b : _ y > 1 9 4 . 2 < / b : _ y > < / b : P o i n t > < b : P o i n t > < b : _ x > 5 3 2 . 6 5 5 7 1 6 < / b : _ x > < b : _ y > 9 5 . 8 < / b : _ y > < / b : P o i n t > < b : P o i n t > < b : _ x > 5 3 0 . 6 5 5 7 1 6 < / b : _ x > < b : _ y > 9 3 . 8 < / b : _ y > < / b : P o i n t > < b : P o i n t > < b : _ x > 4 6 7 . 5 0 3 8 1 0 5 6 7 6 6 5 8 2 < / b : _ x > < b : _ y > 9 3 . 7 9 9 9 9 9 9 9 9 9 9 9 9 8 3 < / b : _ y > < / b : P o i n t > < / P o i n t s > < / a : V a l u e > < / a : K e y V a l u e O f D i a g r a m O b j e c t K e y a n y T y p e z b w N T n L X > < a : K e y V a l u e O f D i a g r a m O b j e c t K e y a n y T y p e z b w N T n L X > < a : K e y > < K e y > R e l a t i o n s h i p s \ & l t ; T a b l e s \ b a n k _ l o a n _ d a t a \ C o l u m n s \ a d d r e s s _ s t a t e & g t ; - & l t ; T a b l e s \ u n e m p l y o m e n t _ r a t e \ C o l u m n s \ s t a t e _ a b b r e v i a t i o n & g t ; \ F K < / K e y > < / a : K e y > < a : V a l u e   i : t y p e = " D i a g r a m D i s p l a y L i n k E n d p o i n t V i e w S t a t e " > < H e i g h t > 1 6 < / H e i g h t > < L a b e l L o c a t i o n   x m l n s : b = " h t t p : / / s c h e m a s . d a t a c o n t r a c t . o r g / 2 0 0 4 / 0 7 / S y s t e m . W i n d o w s " > < b : _ x > 5 9 7 . 8 0 7 6 2 1 1 3 5 3 3 1 6 < / b : _ x > < b : _ y > 1 8 8 . 2 < / b : _ y > < / L a b e l L o c a t i o n > < L o c a t i o n   x m l n s : b = " h t t p : / / s c h e m a s . d a t a c o n t r a c t . o r g / 2 0 0 4 / 0 7 / S y s t e m . W i n d o w s " > < b : _ x > 6 1 3 . 8 0 7 6 2 1 1 3 5 3 3 1 6 < / b : _ x > < b : _ y > 1 9 6 . 2 < / b : _ y > < / L o c a t i o n > < S h a p e R o t a t e A n g l e > 1 8 0 < / S h a p e R o t a t e A n g l e > < W i d t h > 1 6 < / W i d t h > < / a : V a l u e > < / a : K e y V a l u e O f D i a g r a m O b j e c t K e y a n y T y p e z b w N T n L X > < a : K e y V a l u e O f D i a g r a m O b j e c t K e y a n y T y p e z b w N T n L X > < a : K e y > < K e y > R e l a t i o n s h i p s \ & l t ; T a b l e s \ b a n k _ l o a n _ d a t a \ C o l u m n s \ a d d r e s s _ s t a t e & g t ; - & l t ; T a b l e s \ u n e m p l y o m e n t _ r a t e \ C o l u m n s \ s t a t e _ a b b r e v i a t i o n & g t ; \ P K < / K e y > < / a : K e y > < a : V a l u e   i : t y p e = " D i a g r a m D i s p l a y L i n k E n d p o i n t V i e w S t a t e " > < H e i g h t > 1 6 < / H e i g h t > < L a b e l L o c a t i o n   x m l n s : b = " h t t p : / / s c h e m a s . d a t a c o n t r a c t . o r g / 2 0 0 4 / 0 7 / S y s t e m . W i n d o w s " > < b : _ x > 4 5 1 . 5 0 3 8 1 0 5 6 7 6 6 5 8 2 < / b : _ x > < b : _ y > 8 5 . 7 9 9 9 9 9 9 9 9 9 9 9 9 8 3 < / b : _ y > < / L a b e l L o c a t i o n > < L o c a t i o n   x m l n s : b = " h t t p : / / s c h e m a s . d a t a c o n t r a c t . o r g / 2 0 0 4 / 0 7 / S y s t e m . W i n d o w s " > < b : _ x > 4 5 1 . 5 0 3 8 1 0 5 6 7 6 6 5 8 2 < / b : _ x > < b : _ y > 9 3 . 8 < / b : _ y > < / L o c a t i o n > < S h a p e R o t a t e A n g l e > 3 5 9 . 9 9 9 9 9 9 9 9 9 9 9 9 9 4 < / S h a p e R o t a t e A n g l e > < W i d t h > 1 6 < / W i d t h > < / a : V a l u e > < / a : K e y V a l u e O f D i a g r a m O b j e c t K e y a n y T y p e z b w N T n L X > < a : K e y V a l u e O f D i a g r a m O b j e c t K e y a n y T y p e z b w N T n L X > < a : K e y > < K e y > R e l a t i o n s h i p s \ & l t ; T a b l e s \ b a n k _ l o a n _ d a t a \ C o l u m n s \ a d d r e s s _ s t a t e & g t ; - & l t ; T a b l e s \ u n e m p l y o m e n t _ r a t e \ C o l u m n s \ s t a t e _ a b b r e v i a t i o n & g t ; \ C r o s s F i l t e r < / K e y > < / a : K e y > < a : V a l u e   i : t y p e = " D i a g r a m D i s p l a y L i n k C r o s s F i l t e r V i e w S t a t e " > < P o i n t s   x m l n s : b = " h t t p : / / s c h e m a s . d a t a c o n t r a c t . o r g / 2 0 0 4 / 0 7 / S y s t e m . W i n d o w s " > < b : P o i n t > < b : _ x > 5 9 7 . 8 0 7 6 2 1 1 3 5 3 3 1 6 < / b : _ x > < b : _ y > 1 9 6 . 2 < / b : _ y > < / b : P o i n t > < b : P o i n t > < b : _ x > 5 3 4 . 6 5 5 7 1 6 < / b : _ x > < b : _ y > 1 9 6 . 2 < / b : _ y > < / b : P o i n t > < b : P o i n t > < b : _ x > 5 3 2 . 6 5 5 7 1 6 < / b : _ x > < b : _ y > 1 9 4 . 2 < / b : _ y > < / b : P o i n t > < b : P o i n t > < b : _ x > 5 3 2 . 6 5 5 7 1 6 < / b : _ x > < b : _ y > 9 5 . 8 < / b : _ y > < / b : P o i n t > < b : P o i n t > < b : _ x > 5 3 0 . 6 5 5 7 1 6 < / b : _ x > < b : _ y > 9 3 . 8 < / b : _ y > < / b : P o i n t > < b : P o i n t > < b : _ x > 4 6 7 . 5 0 3 8 1 0 5 6 7 6 6 5 8 2 < / b : _ x > < b : _ y > 9 3 . 7 9 9 9 9 9 9 9 9 9 9 9 9 8 3 < / b : _ y > < / b : P o i n t > < / P o i n t s > < / a : V a l u e > < / a : K e y V a l u e O f D i a g r a m O b j e c t K e y a n y T y p e z b w N T n L X > < a : K e y V a l u e O f D i a g r a m O b j e c t K e y a n y T y p e z b w N T n L X > < a : K e y > < K e y > T a b l e s \ b a n k _ l o a n _ d a t a \ C o l u m n s \ R i s k F l a g < / K e y > < / a : K e y > < a : V a l u e   i : t y p e = " D i a g r a m D i s p l a y N o d e V i e w S t a t e " > < H e i g h t > 1 5 0 < / H e i g h t > < I s E x p a n d e d > t r u e < / I s E x p a n d e d > < W i d t h > 2 0 0 < / W i d t h > < / a : V a l u e > < / a : K e y V a l u e O f D i a g r a m O b j e c t K e y a n y T y p e z b w N T n L X > < / V i e w S t a t e s > < / D i a g r a m M a n a g e r . S e r i a l i z a b l e D i a g r a m > < D i a g r a m M a n a g e r . S e r i a l i z a b l e D i a g r a m > < A d a p t e r   i : t y p e = " M e a s u r e D i a g r a m S a n d b o x A d a p t e r " > < T a b l e N a m e > u n e m p l y o m e n t _ r a t e 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 u n e m p l y o m e n t _ r a t e 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 C o l u m n s \ s t a t e _ a b b r e v i a t i o n < / K e y > < / D i a g r a m O b j e c t K e y > < D i a g r a m O b j e c t K e y > < K e y > C o l u m n s \ N a m e < / K e y > < / D i a g r a m O b j e c t K e y > < D i a g r a m O b j e c t K e y > < K e y > C o l u m n s \ u n e m p l o y m e n t _ r a t e 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 C o l u m n s \ s t a t e _ a b b r e v i a t i o n < / 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 C o l u m n s \ u n e m p l o y m e n t _ r a t e < / K e y > < / a : K e y > < a : V a l u e   i : t y p e = " M e a s u r e G r i d N o d e V i e w S t a t e " > < C o l u m n > 2 < / C o l u m n > < L a y e d O u t > t r u e < / L a y e d O u t > < / a : V a l u e > < / a : K e y V a l u e O f D i a g r a m O b j e c t K e y a n y T y p e z b w N T n L X > < / V i e w S t a t e s > < / D i a g r a m M a n a g e r . S e r i a l i z a b l e D i a g r a m > < D i a g r a m M a n a g e r . S e r i a l i z a b l e D i a g r a m > < A d a p t e r   i : t y p e = " M e a s u r e D i a g r a m S a n d b o x A d a p t e r " > < T a b l e N a m e > r a w _ d a t a 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 r a w _ d a t a 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 b a n k _ l o a n _ d a t a 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 b a n k _ l o a n _ d a t a 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 M e a s u r e s \ E x p e c t e d   L o a n   G r o w t h < / K e y > < / D i a g r a m O b j e c t K e y > < D i a g r a m O b j e c t K e y > < K e y > M e a s u r e s \ E x p e c t e d   L o a n   G r o w t h \ T a g I n f o \ F o r m u l a < / K e y > < / D i a g r a m O b j e c t K e y > < D i a g r a m O b j e c t K e y > < K e y > M e a s u r e s \ E x p e c t e d   L o a n   G r o w t h \ T a g I n f o \ V a l u e < / K e y > < / D i a g r a m O b j e c t K e y > < D i a g r a m O b j e c t K e y > < K e y > M e a s u r e s \ e x p e c t e d   t o t a l   p a y m e n t < / K e y > < / D i a g r a m O b j e c t K e y > < D i a g r a m O b j e c t K e y > < K e y > M e a s u r e s \ e x p e c t e d   t o t a l   p a y m e n t \ T a g I n f o \ F o r m u l a < / K e y > < / D i a g r a m O b j e c t K e y > < D i a g r a m O b j e c t K e y > < K e y > M e a s u r e s \ e x p e c t e d   t o t a l   p a y m e n t \ T a g I n f o \ V a l u e < / K e y > < / D i a g r a m O b j e c t K e y > < D i a g r a m O b j e c t K e y > < K e y > M e a s u r e s \ T o t a l   P a y m e n t < / K e y > < / D i a g r a m O b j e c t K e y > < D i a g r a m O b j e c t K e y > < K e y > M e a s u r e s \ T o t a l   P a y m e n t \ T a g I n f o \ F o r m u l a < / K e y > < / D i a g r a m O b j e c t K e y > < D i a g r a m O b j e c t K e y > < K e y > M e a s u r e s \ T o t a l   P a y m e n t \ T a g I n f o \ V a l u e < / K e y > < / D i a g r a m O b j e c t K e y > < D i a g r a m O b j e c t K e y > < K e y > M e a s u r e s \ T o t a l   D i s b u r s e d   L o a n s < / K e y > < / D i a g r a m O b j e c t K e y > < D i a g r a m O b j e c t K e y > < K e y > M e a s u r e s \ T o t a l   D i s b u r s e d   L o a n s \ T a g I n f o \ F o r m u l a < / K e y > < / D i a g r a m O b j e c t K e y > < D i a g r a m O b j e c t K e y > < K e y > M e a s u r e s \ T o t a l   D i s b u r s e d   L o a n s \ T a g I n f o \ V a l u e < / K e y > < / D i a g r a m O b j e c t K e y > < D i a g r a m O b j e c t K e y > < K e y > M e a s u r e s \ T o t a l   A m o u n t   D i s b u r s e d < / K e y > < / D i a g r a m O b j e c t K e y > < D i a g r a m O b j e c t K e y > < K e y > M e a s u r e s \ T o t a l   A m o u n t   D i s b u r s e d \ T a g I n f o \ F o r m u l a < / K e y > < / D i a g r a m O b j e c t K e y > < D i a g r a m O b j e c t K e y > < K e y > M e a s u r e s \ T o t a l   A m o u n t   D i s b u r s e d \ T a g I n f o \ V a l u e < / K e y > < / D i a g r a m O b j e c t K e y > < D i a g r a m O b j e c t K e y > < K e y > M e a s u r e s \ A v g   D T I < / K e y > < / D i a g r a m O b j e c t K e y > < D i a g r a m O b j e c t K e y > < K e y > M e a s u r e s \ A v g   D T I \ T a g I n f o \ F o r m u l a < / K e y > < / D i a g r a m O b j e c t K e y > < D i a g r a m O b j e c t K e y > < K e y > M e a s u r e s \ A v g   D T I \ T a g I n f o \ V a l u e < / K e y > < / D i a g r a m O b j e c t K e y > < D i a g r a m O b j e c t K e y > < K e y > M e a s u r e s \ A v g   I n t e r e s t   R a t e < / K e y > < / D i a g r a m O b j e c t K e y > < D i a g r a m O b j e c t K e y > < K e y > M e a s u r e s \ A v g   I n t e r e s t   R a t e \ T a g I n f o \ F o r m u l a < / K e y > < / D i a g r a m O b j e c t K e y > < D i a g r a m O b j e c t K e y > < K e y > M e a s u r e s \ A v g   I n t e r e s t   R a t e \ T a g I n f o \ V a l u e < / K e y > < / D i a g r a m O b j e c t K e y > < D i a g r a m O b j e c t K e y > < K e y > M e a s u r e s \ E x p e c t e d   p a i d   % < / K e y > < / D i a g r a m O b j e c t K e y > < D i a g r a m O b j e c t K e y > < K e y > M e a s u r e s \ E x p e c t e d   p a i d   % \ T a g I n f o \ F o r m u l a < / K e y > < / D i a g r a m O b j e c t K e y > < D i a g r a m O b j e c t K e y > < K e y > M e a s u r e s \ E x p e c t e d   p a i d   % \ T a g I n f o \ V a l u e < / K e y > < / D i a g r a m O b j e c t K e y > < D i a g r a m O b j e c t K e y > < K e y > M e a s u r e s \ %   F r a u d   L o a n s < / K e y > < / D i a g r a m O b j e c t K e y > < D i a g r a m O b j e c t K e y > < K e y > M e a s u r e s \ %   F r a u d   L o a n s \ T a g I n f o \ F o r m u l a < / K e y > < / D i a g r a m O b j e c t K e y > < D i a g r a m O b j e c t K e y > < K e y > M e a s u r e s \ %   F r a u d   L o a n s \ T a g I n f o \ V a l u e < / K e y > < / D i a g r a m O b j e c t K e y > < D i a g r a m O b j e c t K e y > < K e y > M e a s u r e s \ A c t i v e   L o a n s < / K e y > < / D i a g r a m O b j e c t K e y > < D i a g r a m O b j e c t K e y > < K e y > M e a s u r e s \ A c t i v e   L o a n s \ T a g I n f o \ F o r m u l a < / K e y > < / D i a g r a m O b j e c t K e y > < D i a g r a m O b j e c t K e y > < K e y > M e a s u r e s \ A c t i v e   L o a n s \ T a g I n f o \ V a l u e < / K e y > < / D i a g r a m O b j e c t K e y > < D i a g r a m O b j e c t K e y > < K e y > M e a s u r e s \ C h a r g e d   O f f / D e f a u l t e d   L o a n s < / K e y > < / D i a g r a m O b j e c t K e y > < D i a g r a m O b j e c t K e y > < K e y > M e a s u r e s \ C h a r g e d   O f f / D e f a u l t e d   L o a n s \ T a g I n f o \ F o r m u l a < / K e y > < / D i a g r a m O b j e c t K e y > < D i a g r a m O b j e c t K e y > < K e y > M e a s u r e s \ C h a r g e d   O f f / D e f a u l t e d   L o a n s \ T a g I n f o \ V a l u e < / K e y > < / D i a g r a m O b j e c t K e y > < D i a g r a m O b j e c t K e y > < K e y > M e a s u r e s \ C l o s e d   L o a n s < / K e y > < / D i a g r a m O b j e c t K e y > < D i a g r a m O b j e c t K e y > < K e y > M e a s u r e s \ C l o s e d   L o a n s \ T a g I n f o \ F o r m u l a < / K e y > < / D i a g r a m O b j e c t K e y > < D i a g r a m O b j e c t K e y > < K e y > M e a s u r e s \ C l o s e d   L o a n s \ T a g I n f o \ V a l u e < / K e y > < / D i a g r a m O b j e c t K e y > < D i a g r a m O b j e c t K e y > < K e y > M e a s u r e s \ %   C h a r g e d   O f f   L o a n s < / K e y > < / D i a g r a m O b j e c t K e y > < D i a g r a m O b j e c t K e y > < K e y > M e a s u r e s \ %   C h a r g e d   O f f   L o a n s \ T a g I n f o \ F o r m u l a < / K e y > < / D i a g r a m O b j e c t K e y > < D i a g r a m O b j e c t K e y > < K e y > M e a s u r e s \ %   C h a r g e d   O f f   L o a n s \ T a g I n f o \ V a l u e < / K e y > < / D i a g r a m O b j e c t K e y > < D i a g r a m O b j e c t K e y > < K e y > M e a s u r e s \ R i s k   %   L o a n s < / K e y > < / D i a g r a m O b j e c t K e y > < D i a g r a m O b j e c t K e y > < K e y > M e a s u r e s \ R i s k   %   L o a n s \ T a g I n f o \ F o r m u l a < / K e y > < / D i a g r a m O b j e c t K e y > < D i a g r a m O b j e c t K e y > < K e y > M e a s u r e s \ R i s k   %   L o a n s \ T a g I n f o \ V a l u e < / K e y > < / D i a g r a m O b j e c t K e y > < D i a g r a m O b j e c t K e y > < K e y > M e a s u r e s \ N o .   o f   C l e a n   L o a n s < / K e y > < / D i a g r a m O b j e c t K e y > < D i a g r a m O b j e c t K e y > < K e y > M e a s u r e s \ N o .   o f   C l e a n   L o a n s \ T a g I n f o \ F o r m u l a < / K e y > < / D i a g r a m O b j e c t K e y > < D i a g r a m O b j e c t K e y > < K e y > M e a s u r e s \ N o .   o f   C l e a n   L o a n s \ T a g I n f o \ V a l u e < / K e y > < / D i a g r a m O b j e c t K e y > < D i a g r a m O b j e c t K e y > < K e y > M e a s u r e s \ N o .   o f   P o t e n t i a l   f r a u d s < / K e y > < / D i a g r a m O b j e c t K e y > < D i a g r a m O b j e c t K e y > < K e y > M e a s u r e s \ N o .   o f   P o t e n t i a l   f r a u d s \ T a g I n f o \ F o r m u l a < / K e y > < / D i a g r a m O b j e c t K e y > < D i a g r a m O b j e c t K e y > < K e y > M e a s u r e s \ N o .   o f   P o t e n t i a l   f r a u d s \ T a g I n f o \ V a l u e < / K e y > < / D i a g r a m O b j e c t K e y > < D i a g r a m O b j e c t K e y > < K e y > M e a s u r e s \ N o .   o f   F a l s e   o w n e r s h i p   f l a g s < / K e y > < / D i a g r a m O b j e c t K e y > < D i a g r a m O b j e c t K e y > < K e y > M e a s u r e s \ N o .   o f   F a l s e   o w n e r s h i p   f l a g s \ T a g I n f o \ F o r m u l a < / K e y > < / D i a g r a m O b j e c t K e y > < D i a g r a m O b j e c t K e y > < K e y > M e a s u r e s \ N o .   o f   F a l s e   o w n e r s h i p   f l a g s \ T a g I n f o \ V a l u e < / K e y > < / D i a g r a m O b j e c t K e y > < D i a g r a m O b j e c t K e y > < K e y > M e a s u r e s \ C o u n t   o f   e x p e c t e d _ t o t a l _ p a y m e n t < / K e y > < / D i a g r a m O b j e c t K e y > < D i a g r a m O b j e c t K e y > < K e y > M e a s u r e s \ C o u n t   o f   e x p e c t e d _ t o t a l _ p a y m e n t \ T a g I n f o \ F o r m u l a < / K e y > < / D i a g r a m O b j e c t K e y > < D i a g r a m O b j e c t K e y > < K e y > M e a s u r e s \ C o u n t   o f   e x p e c t e d _ t o t a l _ p a y m e n t \ T a g I n f o \ V a l u e < / K e y > < / D i a g r a m O b j e c t K e y > < D i a g r a m O b j e c t K e y > < K e y > M e a s u r e s \ C o u n t   o f   t o t a l _ p a y m e n t < / K e y > < / D i a g r a m O b j e c t K e y > < D i a g r a m O b j e c t K e y > < K e y > M e a s u r e s \ C o u n t   o f   t o t a l _ p a y m e n t \ T a g I n f o \ F o r m u l a < / K e y > < / D i a g r a m O b j e c t K e y > < D i a g r a m O b j e c t K e y > < K e y > M e a s u r e s \ C o u n t   o f   t o t a l _ p a y m e n t \ T a g I n f o \ V a l u e < / K e y > < / D i a g r a m O b j e c t K e y > < D i a g r a m O b j e c t K e y > < K e y > M e a s u r e s \ S u m   o f   t o t a l _ p a y m e n t < / K e y > < / D i a g r a m O b j e c t K e y > < D i a g r a m O b j e c t K e y > < K e y > M e a s u r e s \ S u m   o f   t o t a l _ p a y m e n t \ T a g I n f o \ F o r m u l a < / K e y > < / D i a g r a m O b j e c t K e y > < D i a g r a m O b j e c t K e y > < K e y > M e a s u r e s \ S u m   o f   t o t a l _ p a y m e n t \ T a g I n f o \ V a l u e < / K e y > < / D i a g r a m O b j e c t K e y > < D i a g r a m O b j e c t K e y > < K e y > M e a s u r e s \ S u m   o f   e x p e c t e d _ t o t a l _ p a y m e n t < / K e y > < / D i a g r a m O b j e c t K e y > < D i a g r a m O b j e c t K e y > < K e y > M e a s u r e s \ S u m   o f   e x p e c t e d _ t o t a l _ p a y m e n t \ T a g I n f o \ F o r m u l a < / K e y > < / D i a g r a m O b j e c t K e y > < D i a g r a m O b j e c t K e y > < K e y > M e a s u r e s \ S u m   o f   e x p e c t e d _ t o t a l _ p a y m e n t \ T a g I n f o \ V a l u e < / K e y > < / D i a g r a m O b j e c t K e y > < D i a g r a m O b j e c t K e y > < K e y > M e a s u r e s \ S u m   o f   u n e m p l o y m e n t _ r a t e < / K e y > < / D i a g r a m O b j e c t K e y > < D i a g r a m O b j e c t K e y > < K e y > M e a s u r e s \ S u m   o f   u n e m p l o y m e n t _ r a t e \ T a g I n f o \ F o r m u l a < / K e y > < / D i a g r a m O b j e c t K e y > < D i a g r a m O b j e c t K e y > < K e y > M e a s u r e s \ S u m   o f   u n e m p l o y m e n t _ r a t e \ T a g I n f o \ V a l u e < / K e y > < / D i a g r a m O b j e c t K e y > < D i a g r a m O b j e c t K e y > < K e y > M e a s u r e s \ C o u n t   o f   R i s k F l a g < / K e y > < / D i a g r a m O b j e c t K e y > < D i a g r a m O b j e c t K e y > < K e y > M e a s u r e s \ C o u n t   o f   R i s k F l a g \ T a g I n f o \ F o r m u l a < / K e y > < / D i a g r a m O b j e c t K e y > < D i a g r a m O b j e c t K e y > < K e y > M e a s u r e s \ C o u n t   o f   R i s k F l a g \ T a g I n f o \ V a l u e < / K e y > < / D i a g r a m O b j e c t K e y > < D i a g r a m O b j e c t K e y > < K e y > M e a s u r e s \ C o u n t   o f   f r a u d _ d e t e c t i o n _ f l a g < / K e y > < / D i a g r a m O b j e c t K e y > < D i a g r a m O b j e c t K e y > < K e y > M e a s u r e s \ C o u n t   o f   f r a u d _ d e t e c t i o n _ f l a g \ T a g I n f o \ F o r m u l a < / K e y > < / D i a g r a m O b j e c t K e y > < D i a g r a m O b j e c t K e y > < K e y > M e a s u r e s \ C o u n t   o f   f r a u d _ d e t e c t i o n _ f l a g \ T a g I n f o \ V a l u e < / K e y > < / D i a g r a m O b j e c t K e y > < D i a g r a m O b j e c t K e y > < K e y > M e a s u r e s \ C o u n t   o f   D T I   F l a g < / K e y > < / D i a g r a m O b j e c t K e y > < D i a g r a m O b j e c t K e y > < K e y > M e a s u r e s \ C o u n t   o f   D T I   F l a g \ T a g I n f o \ F o r m u l a < / K e y > < / D i a g r a m O b j e c t K e y > < D i a g r a m O b j e c t K e y > < K e y > M e a s u r e s \ C o u n t   o f   D T I   F l a g \ T a g I n f o \ V a l u e < / K e y > < / D i a g r a m O b j e c t K e y > < D i a g r a m O b j e c t K e y > < K e y > M e a s u r e s \ C o u n t   o f   e m p _ l e n g t h < / K e y > < / D i a g r a m O b j e c t K e y > < D i a g r a m O b j e c t K e y > < K e y > M e a s u r e s \ C o u n t   o f   e m p _ l e n g t h \ T a g I n f o \ F o r m u l a < / K e y > < / D i a g r a m O b j e c t K e y > < D i a g r a m O b j e c t K e y > < K e y > M e a s u r e s \ C o u n t   o f   e m p _ l e n g t h \ T a g I n f o \ V a l u e < / K e y > < / D i a g r a m O b j e c t K e y > < D i a g r a m O b j e c t K e y > < K e y > M e a s u r e s \ C o u n t   o f   h o m e _ o w n e r s h i p < / K e y > < / D i a g r a m O b j e c t K e y > < D i a g r a m O b j e c t K e y > < K e y > M e a s u r e s \ C o u n t   o f   h o m e _ o w n e r s h i p \ T a g I n f o \ F o r m u l a < / K e y > < / D i a g r a m O b j e c t K e y > < D i a g r a m O b j e c t K e y > < K e y > M e a s u r e s \ C o u n t   o f   h o m e _ o w n e r s h i p \ T a g I n f o \ V a l u e < / K e y > < / D i a g r a m O b j e c t K e y > < D i a g r a m O b j e c t K e y > < K e y > M e a s u r e s \ C o u n t   o f   L o a n   Q u a l i t y < / K e y > < / D i a g r a m O b j e c t K e y > < D i a g r a m O b j e c t K e y > < K e y > M e a s u r e s \ C o u n t   o f   L o a n   Q u a l i t y \ T a g I n f o \ F o r m u l a < / K e y > < / D i a g r a m O b j e c t K e y > < D i a g r a m O b j e c t K e y > < K e y > M e a s u r e s \ C o u n t   o f   L o a n   Q u a l i t y \ T a g I n f o \ V a l u e < / K e y > < / D i a g r a m O b j e c t K e y > < D i a g r a m O b j e c t K e y > < K e y > M e a s u r e s \ C o u n t   o f   s t a t e _ u n e m p l o y m e n t _ f l a g < / K e y > < / D i a g r a m O b j e c t K e y > < D i a g r a m O b j e c t K e y > < K e y > M e a s u r e s \ C o u n t   o f   s t a t e _ u n e m p l o y m e n t _ f l a g \ T a g I n f o \ F o r m u l a < / K e y > < / D i a g r a m O b j e c t K e y > < D i a g r a m O b j e c t K e y > < K e y > M e a s u r e s \ C o u n t   o f   s t a t e _ u n e m p l o y m e n t _ f l a g \ T a g I n f o \ V a l u e < / K e y > < / D i a g r a m O b j e c t K e y > < D i a g r a m O b j e c t K e y > < K e y > M e a s u r e s \ S u m   o f   r e p a y m e n t _ e f f i c i e n c y _ r a t i o < / K e y > < / D i a g r a m O b j e c t K e y > < D i a g r a m O b j e c t K e y > < K e y > M e a s u r e s \ S u m   o f   r e p a y m e n t _ e f f i c i e n c y _ r a t i o \ T a g I n f o \ F o r m u l a < / K e y > < / D i a g r a m O b j e c t K e y > < D i a g r a m O b j e c t K e y > < K e y > M e a s u r e s \ S u m   o f   r e p a y m e n t _ e f f i c i e n c y _ r a t i o \ T a g I n f o \ V a l u e < / K e y > < / D i a g r a m O b j e c t K e y > < D i a g r a m O b j e c t K e y > < K e y > M e a s u r e s \ A v e r a g e   o f   r e p a y m e n t _ e f f i c i e n c y _ r a t i o < / K e y > < / D i a g r a m O b j e c t K e y > < D i a g r a m O b j e c t K e y > < K e y > M e a s u r e s \ A v e r a g e   o f   r e p a y m e n t _ e f f i c i e n c y _ r a t i o \ T a g I n f o \ F o r m u l a < / K e y > < / D i a g r a m O b j e c t K e y > < D i a g r a m O b j e c t K e y > < K e y > M e a s u r e s \ A v e r a g e   o f   r e p a y m e n t _ e f f i c i e n c y _ r a t i o \ T a g I n f o \ V a l u e < / K e y > < / D i a g r a m O b j e c t K e y > < D i a g r a m O b j e c t K e y > < K e y > M e a s u r e s \ C o u n t   o f   o w n e r s h i p _ f l a g < / K e y > < / D i a g r a m O b j e c t K e y > < D i a g r a m O b j e c t K e y > < K e y > M e a s u r e s \ C o u n t   o f   o w n e r s h i p _ f l a g \ T a g I n f o \ F o r m u l a < / K e y > < / D i a g r a m O b j e c t K e y > < D i a g r a m O b j e c t K e y > < K e y > M e a s u r e s \ C o u n t   o f   o w n e r s h i p _ f l a g \ T a g I n f o \ V a l u e < / K e y > < / D i a g r a m O b j e c t K e y > < D i a g r a m O b j e c t K e y > < K e y > M e a s u r e s \ S u m   o f   a n n u a l _ i n c o m e < / K e y > < / D i a g r a m O b j e c t K e y > < D i a g r a m O b j e c t K e y > < K e y > M e a s u r e s \ S u m   o f   a n n u a l _ i n c o m e \ T a g I n f o \ F o r m u l a < / K e y > < / D i a g r a m O b j e c t K e y > < D i a g r a m O b j e c t K e y > < K e y > M e a s u r e s \ S u m   o f   a n n u a l _ i n c o m e \ T a g I n f o \ V a l u e < / K e y > < / D i a g r a m O b j e c t K e y > < D i a g r a m O b j e c t K e y > < K e y > M e a s u r e s \ A v e r a g e   o f   a n n u a l _ i n c o m e < / K e y > < / D i a g r a m O b j e c t K e y > < D i a g r a m O b j e c t K e y > < K e y > M e a s u r e s \ A v e r a g e   o f   a n n u a l _ i n c o m e \ T a g I n f o \ F o r m u l a < / K e y > < / D i a g r a m O b j e c t K e y > < D i a g r a m O b j e c t K e y > < K e y > M e a s u r e s \ A v e r a g e   o f   a n n u a l _ i n c o m e \ T a g I n f o \ V a l u e < / K e y > < / D i a g r a m O b j e c t K e y > < D i a g r a m O b j e c t K e y > < K e y > M e a s u r e s \ S u m   o f   l o a n _ a m o u n t < / K e y > < / D i a g r a m O b j e c t K e y > < D i a g r a m O b j e c t K e y > < K e y > M e a s u r e s \ S u m   o f   l o a n _ a m o u n t \ T a g I n f o \ F o r m u l a < / K e y > < / D i a g r a m O b j e c t K e y > < D i a g r a m O b j e c t K e y > < K e y > M e a s u r e s \ S u m   o f   l o a n _ a m o u n t \ T a g I n f o \ V a l u e < / K e y > < / D i a g r a m O b j e c t K e y > < D i a g r a m O b j e c t K e y > < K e y > M e a s u r e s \ A v e r a g e   o f   l o a n _ a m o u n t < / K e y > < / D i a g r a m O b j e c t K e y > < D i a g r a m O b j e c t K e y > < K e y > M e a s u r e s \ A v e r a g e   o f   l o a n _ a m o u n t \ T a g I n f o \ F o r m u l a < / K e y > < / D i a g r a m O b j e c t K e y > < D i a g r a m O b j e c t K e y > < K e y > M e a s u r e s \ A v e r a g e   o f   l o a n _ a m o u n t \ T a g I n f o \ V a l u e < / K e y > < / D i a g r a m O b j e c t K e y > < D i a g r a m O b j e c t K e y > < K e y > M e a s u r e s \ S u m   o f   i n t _ r a t e < / K e y > < / D i a g r a m O b j e c t K e y > < D i a g r a m O b j e c t K e y > < K e y > M e a s u r e s \ S u m   o f   i n t _ r a t e \ T a g I n f o \ F o r m u l a < / K e y > < / D i a g r a m O b j e c t K e y > < D i a g r a m O b j e c t K e y > < K e y > M e a s u r e s \ S u m   o f   i n t _ r a t e \ T a g I n f o \ V a l u e < / K e y > < / D i a g r a m O b j e c t K e y > < D i a g r a m O b j e c t K e y > < K e y > M e a s u r e s \ A v e r a g e   o f   i n t _ r a t e < / K e y > < / D i a g r a m O b j e c t K e y > < D i a g r a m O b j e c t K e y > < K e y > M e a s u r e s \ A v e r a g e   o f   i n t _ r a t e \ T a g I n f o \ F o r m u l a < / K e y > < / D i a g r a m O b j e c t K e y > < D i a g r a m O b j e c t K e y > < K e y > M e a s u r e s \ A v e r a g e   o f   i n t _ r a t e \ T a g I n f o \ V a l u e < / K e y > < / D i a g r a m O b j e c t K e y > < D i a g r a m O b j e c t K e y > < K e y > C o l u m n s \ i d < / K e y > < / D i a g r a m O b j e c t K e y > < D i a g r a m O b j e c t K e y > < K e y > C o l u m n s \ a d d r e s s _ s t a t e < / K e y > < / D i a g r a m O b j e c t K e y > < D i a g r a m O b j e c t K e y > < K e y > C o l u m n s \ a p p l i c a t i o n _ t y p e < / K e y > < / D i a g r a m O b j e c t K e y > < D i a g r a m O b j e c t K e y > < K e y > C o l u m n s \ e m p _ l e n g t h < / K e y > < / D i a g r a m O b j e c t K e y > < D i a g r a m O b j e c t K e y > < K e y > C o l u m n s \ e m p _ t i t l e < / K e y > < / D i a g r a m O b j e c t K e y > < D i a g r a m O b j e c t K e y > < K e y > C o l u m n s \ g r a d e < / K e y > < / D i a g r a m O b j e c t K e y > < D i a g r a m O b j e c t K e y > < K e y > C o l u m n s \ s u b _ g r a d e < / K e y > < / D i a g r a m O b j e c t K e y > < D i a g r a m O b j e c t K e y > < K e y > C o l u m n s \ h o m e _ o w n e r s h i p < / K e y > < / D i a g r a m O b j e c t K e y > < D i a g r a m O b j e c t K e y > < K e y > C o l u m n s \ i s s u e _ d a t e < / K e y > < / D i a g r a m O b j e c t K e y > < D i a g r a m O b j e c t K e y > < K e y > C o l u m n s \ l a s t _ c r e d i t _ p u l l _ d a t e < / K e y > < / D i a g r a m O b j e c t K e y > < D i a g r a m O b j e c t K e y > < K e y > C o l u m n s \ l a s t _ p a y m e n t _ d a t e < / K e y > < / D i a g r a m O b j e c t K e y > < D i a g r a m O b j e c t K e y > < K e y > C o l u m n s \ l o a n _ s t a t u s < / K e y > < / D i a g r a m O b j e c t K e y > < D i a g r a m O b j e c t K e y > < K e y > C o l u m n s \ L o a n   Q u a l i t y < / K e y > < / D i a g r a m O b j e c t K e y > < D i a g r a m O b j e c t K e y > < K e y > C o l u m n s \ n e x t _ p a y m e n t _ d a t e < / K e y > < / D i a g r a m O b j e c t K e y > < D i a g r a m O b j e c t K e y > < K e y > C o l u m n s \ m e m b e r _ i d < / K e y > < / D i a g r a m O b j e c t K e y > < D i a g r a m O b j e c t K e y > < K e y > C o l u m n s \ p u r p o s e < / K e y > < / D i a g r a m O b j e c t K e y > < D i a g r a m O b j e c t K e y > < K e y > C o l u m n s \ v e r i f i c a t i o n _ s t a t u s < / K e y > < / D i a g r a m O b j e c t K e y > < D i a g r a m O b j e c t K e y > < K e y > C o l u m n s \ t e r m _ m o n t h s < / K e y > < / D i a g r a m O b j e c t K e y > < D i a g r a m O b j e c t K e y > < K e y > C o l u m n s \ a n n u a l _ i n c o m e < / K e y > < / D i a g r a m O b j e c t K e y > < D i a g r a m O b j e c t K e y > < K e y > C o l u m n s \ d t i < / K e y > < / D i a g r a m O b j e c t K e y > < D i a g r a m O b j e c t K e y > < K e y > C o l u m n s \ i n s t a l l m e n t < / K e y > < / D i a g r a m O b j e c t K e y > < D i a g r a m O b j e c t K e y > < K e y > C o l u m n s \ i n t _ r a t e < / K e y > < / D i a g r a m O b j e c t K e y > < D i a g r a m O b j e c t K e y > < K e y > C o l u m n s \ l o a n _ a m o u n t < / K e y > < / D i a g r a m O b j e c t K e y > < D i a g r a m O b j e c t K e y > < K e y > C o l u m n s \ t o t a l _ a c c < / K e y > < / D i a g r a m O b j e c t K e y > < D i a g r a m O b j e c t K e y > < K e y > C o l u m n s \ t o t a l _ p a y m e n t < / K e y > < / D i a g r a m O b j e c t K e y > < D i a g r a m O b j e c t K e y > < K e y > C o l u m n s \ D T I   F l a g < / K e y > < / D i a g r a m O b j e c t K e y > < D i a g r a m O b j e c t K e y > < K e y > C o l u m n s \ e x p e c t e d _ t o t a l _ p a y m e n t < / K e y > < / D i a g r a m O b j e c t K e y > < D i a g r a m O b j e c t K e y > < K e y > C o l u m n s \ i s s u e _ d a t e   ( M o n t h   I n d e x ) < / K e y > < / D i a g r a m O b j e c t K e y > < D i a g r a m O b j e c t K e y > < K e y > C o l u m n s \ i s s u e _ d a t e   ( M o n t h ) < / K e y > < / D i a g r a m O b j e c t K e y > < D i a g r a m O b j e c t K e y > < K e y > C o l u m n s \ R i s k F l a g < / K e y > < / D i a g r a m O b j e c t K e y > < D i a g r a m O b j e c t K e y > < K e y > C o l u m n s \ u n e m p l o y m e n t _ r a t e < / K e y > < / D i a g r a m O b j e c t K e y > < D i a g r a m O b j e c t K e y > < K e y > C o l u m n s \ s t a t e _ u n e m p l o y m e n t _ f l a g < / K e y > < / D i a g r a m O b j e c t K e y > < D i a g r a m O b j e c t K e y > < K e y > C o l u m n s \ D u p l i c a t e _ F l a g < / K e y > < / D i a g r a m O b j e c t K e y > < D i a g r a m O b j e c t K e y > < K e y > C o l u m n s \ f r a u d _ d e t e c t i o n _ f l a g < / K e y > < / D i a g r a m O b j e c t K e y > < D i a g r a m O b j e c t K e y > < K e y > C o l u m n s \ o w n e r s h i p _ f l a g < / K e y > < / D i a g r a m O b j e c t K e y > < D i a g r a m O b j e c t K e y > < K e y > C o l u m n s \ u n d e r p a i d _ l o a n s _ f l a g < / K e y > < / D i a g r a m O b j e c t K e y > < D i a g r a m O b j e c t K e y > < K e y > C o l u m n s \ b o r r o w e r _ e x p e r i e n c e _ f l a g < / K e y > < / D i a g r a m O b j e c t K e y > < D i a g r a m O b j e c t K e y > < K e y > C o l u m n s \ r e p a y m e n t _ e f f i c i e n c y _ r a t i o < / K e y > < / D i a g r a m O b j e c t K e y > < D i a g r a m O b j e c t K e y > < K e y > C o l u m n s \ r e p a y m e n t _ e f f i c i e n c y _ f l a g < / K e y > < / D i a g r a m O b j e c t K e y > < D i a g r a m O b j e c t K e y > < K e y > C o l u m n s \ S t a t e _ N a m e < / K e y > < / D i a g r a m O b j e c t K e y > < D i a g r a m O b j e c t K e y > < K e y > L i n k s \ & l t ; C o l u m n s \ C o u n t   o f   e x p e c t e d _ t o t a l _ p a y m e n t & g t ; - & l t ; M e a s u r e s \ e x p e c t e d _ t o t a l _ p a y m e n t & g t ; < / K e y > < / D i a g r a m O b j e c t K e y > < D i a g r a m O b j e c t K e y > < K e y > L i n k s \ & l t ; C o l u m n s \ C o u n t   o f   e x p e c t e d _ t o t a l _ p a y m e n t & g t ; - & l t ; M e a s u r e s \ e x p e c t e d _ t o t a l _ p a y m e n t & g t ; \ C O L U M N < / K e y > < / D i a g r a m O b j e c t K e y > < D i a g r a m O b j e c t K e y > < K e y > L i n k s \ & l t ; C o l u m n s \ C o u n t   o f   e x p e c t e d _ t o t a l _ p a y m e n t & g t ; - & l t ; M e a s u r e s \ e x p e c t e d _ t o t a l _ p a y m e n t & g t ; \ M E A S U R E < / K e y > < / D i a g r a m O b j e c t K e y > < D i a g r a m O b j e c t K e y > < K e y > L i n k s \ & l t ; C o l u m n s \ C o u n t   o f   t o t a l _ p a y m e n t & g t ; - & l t ; M e a s u r e s \ t o t a l _ p a y m e n t & g t ; < / K e y > < / D i a g r a m O b j e c t K e y > < D i a g r a m O b j e c t K e y > < K e y > L i n k s \ & l t ; C o l u m n s \ C o u n t   o f   t o t a l _ p a y m e n t & g t ; - & l t ; M e a s u r e s \ t o t a l _ p a y m e n t & g t ; \ C O L U M N < / K e y > < / D i a g r a m O b j e c t K e y > < D i a g r a m O b j e c t K e y > < K e y > L i n k s \ & l t ; C o l u m n s \ C o u n t   o f   t o t a l _ p a y m e n t & g t ; - & l t ; M e a s u r e s \ t o t a l _ p a y m e n t & g t ; \ M E A S U R E < / K e y > < / D i a g r a m O b j e c t K e y > < D i a g r a m O b j e c t K e y > < K e y > L i n k s \ & l t ; C o l u m n s \ S u m   o f   t o t a l _ p a y m e n t & g t ; - & l t ; M e a s u r e s \ t o t a l _ p a y m e n t & g t ; < / K e y > < / D i a g r a m O b j e c t K e y > < D i a g r a m O b j e c t K e y > < K e y > L i n k s \ & l t ; C o l u m n s \ S u m   o f   t o t a l _ p a y m e n t & g t ; - & l t ; M e a s u r e s \ t o t a l _ p a y m e n t & g t ; \ C O L U M N < / K e y > < / D i a g r a m O b j e c t K e y > < D i a g r a m O b j e c t K e y > < K e y > L i n k s \ & l t ; C o l u m n s \ S u m   o f   t o t a l _ p a y m e n t & g t ; - & l t ; M e a s u r e s \ t o t a l _ p a y m e n t & g t ; \ M E A S U R E < / K e y > < / D i a g r a m O b j e c t K e y > < D i a g r a m O b j e c t K e y > < K e y > L i n k s \ & l t ; C o l u m n s \ S u m   o f   e x p e c t e d _ t o t a l _ p a y m e n t & g t ; - & l t ; M e a s u r e s \ e x p e c t e d _ t o t a l _ p a y m e n t & g t ; < / K e y > < / D i a g r a m O b j e c t K e y > < D i a g r a m O b j e c t K e y > < K e y > L i n k s \ & l t ; C o l u m n s \ S u m   o f   e x p e c t e d _ t o t a l _ p a y m e n t & g t ; - & l t ; M e a s u r e s \ e x p e c t e d _ t o t a l _ p a y m e n t & g t ; \ C O L U M N < / K e y > < / D i a g r a m O b j e c t K e y > < D i a g r a m O b j e c t K e y > < K e y > L i n k s \ & l t ; C o l u m n s \ S u m   o f   e x p e c t e d _ t o t a l _ p a y m e n t & g t ; - & l t ; M e a s u r e s \ e x p e c t e d _ t o t a l _ p a y m e n t & g t ; \ M E A S U R E < / K e y > < / D i a g r a m O b j e c t K e y > < D i a g r a m O b j e c t K e y > < K e y > L i n k s \ & l t ; C o l u m n s \ S u m   o f   u n e m p l o y m e n t _ r a t e & g t ; - & l t ; M e a s u r e s \ u n e m p l o y m e n t _ r a t e & g t ; < / K e y > < / D i a g r a m O b j e c t K e y > < D i a g r a m O b j e c t K e y > < K e y > L i n k s \ & l t ; C o l u m n s \ S u m   o f   u n e m p l o y m e n t _ r a t e & g t ; - & l t ; M e a s u r e s \ u n e m p l o y m e n t _ r a t e & g t ; \ C O L U M N < / K e y > < / D i a g r a m O b j e c t K e y > < D i a g r a m O b j e c t K e y > < K e y > L i n k s \ & l t ; C o l u m n s \ S u m   o f   u n e m p l o y m e n t _ r a t e & g t ; - & l t ; M e a s u r e s \ u n e m p l o y m e n t _ r a t e & g t ; \ M E A S U R E < / K e y > < / D i a g r a m O b j e c t K e y > < D i a g r a m O b j e c t K e y > < K e y > L i n k s \ & l t ; C o l u m n s \ C o u n t   o f   R i s k F l a g & g t ; - & l t ; M e a s u r e s \ R i s k F l a g & g t ; < / K e y > < / D i a g r a m O b j e c t K e y > < D i a g r a m O b j e c t K e y > < K e y > L i n k s \ & l t ; C o l u m n s \ C o u n t   o f   R i s k F l a g & g t ; - & l t ; M e a s u r e s \ R i s k F l a g & g t ; \ C O L U M N < / K e y > < / D i a g r a m O b j e c t K e y > < D i a g r a m O b j e c t K e y > < K e y > L i n k s \ & l t ; C o l u m n s \ C o u n t   o f   R i s k F l a g & g t ; - & l t ; M e a s u r e s \ R i s k F l a g & g t ; \ M E A S U R E < / K e y > < / D i a g r a m O b j e c t K e y > < D i a g r a m O b j e c t K e y > < K e y > L i n k s \ & l t ; C o l u m n s \ C o u n t   o f   f r a u d _ d e t e c t i o n _ f l a g & g t ; - & l t ; M e a s u r e s \ f r a u d _ d e t e c t i o n _ f l a g & g t ; < / K e y > < / D i a g r a m O b j e c t K e y > < D i a g r a m O b j e c t K e y > < K e y > L i n k s \ & l t ; C o l u m n s \ C o u n t   o f   f r a u d _ d e t e c t i o n _ f l a g & g t ; - & l t ; M e a s u r e s \ f r a u d _ d e t e c t i o n _ f l a g & g t ; \ C O L U M N < / K e y > < / D i a g r a m O b j e c t K e y > < D i a g r a m O b j e c t K e y > < K e y > L i n k s \ & l t ; C o l u m n s \ C o u n t   o f   f r a u d _ d e t e c t i o n _ f l a g & g t ; - & l t ; M e a s u r e s \ f r a u d _ d e t e c t i o n _ f l a g & g t ; \ M E A S U R E < / K e y > < / D i a g r a m O b j e c t K e y > < D i a g r a m O b j e c t K e y > < K e y > L i n k s \ & l t ; C o l u m n s \ C o u n t   o f   D T I   F l a g & g t ; - & l t ; M e a s u r e s \ D T I   F l a g & g t ; < / K e y > < / D i a g r a m O b j e c t K e y > < D i a g r a m O b j e c t K e y > < K e y > L i n k s \ & l t ; C o l u m n s \ C o u n t   o f   D T I   F l a g & g t ; - & l t ; M e a s u r e s \ D T I   F l a g & g t ; \ C O L U M N < / K e y > < / D i a g r a m O b j e c t K e y > < D i a g r a m O b j e c t K e y > < K e y > L i n k s \ & l t ; C o l u m n s \ C o u n t   o f   D T I   F l a g & g t ; - & l t ; M e a s u r e s \ D T I   F l a g & g t ; \ M E A S U R E < / K e y > < / D i a g r a m O b j e c t K e y > < D i a g r a m O b j e c t K e y > < K e y > L i n k s \ & l t ; C o l u m n s \ C o u n t   o f   e m p _ l e n g t h & g t ; - & l t ; M e a s u r e s \ e m p _ l e n g t h & g t ; < / K e y > < / D i a g r a m O b j e c t K e y > < D i a g r a m O b j e c t K e y > < K e y > L i n k s \ & l t ; C o l u m n s \ C o u n t   o f   e m p _ l e n g t h & g t ; - & l t ; M e a s u r e s \ e m p _ l e n g t h & g t ; \ C O L U M N < / K e y > < / D i a g r a m O b j e c t K e y > < D i a g r a m O b j e c t K e y > < K e y > L i n k s \ & l t ; C o l u m n s \ C o u n t   o f   e m p _ l e n g t h & g t ; - & l t ; M e a s u r e s \ e m p _ l e n g t h & g t ; \ M E A S U R E < / K e y > < / D i a g r a m O b j e c t K e y > < D i a g r a m O b j e c t K e y > < K e y > L i n k s \ & l t ; C o l u m n s \ C o u n t   o f   h o m e _ o w n e r s h i p & g t ; - & l t ; M e a s u r e s \ h o m e _ o w n e r s h i p & g t ; < / K e y > < / D i a g r a m O b j e c t K e y > < D i a g r a m O b j e c t K e y > < K e y > L i n k s \ & l t ; C o l u m n s \ C o u n t   o f   h o m e _ o w n e r s h i p & g t ; - & l t ; M e a s u r e s \ h o m e _ o w n e r s h i p & g t ; \ C O L U M N < / K e y > < / D i a g r a m O b j e c t K e y > < D i a g r a m O b j e c t K e y > < K e y > L i n k s \ & l t ; C o l u m n s \ C o u n t   o f   h o m e _ o w n e r s h i p & g t ; - & l t ; M e a s u r e s \ h o m e _ o w n e r s h i p & g t ; \ M E A S U R E < / K e y > < / D i a g r a m O b j e c t K e y > < D i a g r a m O b j e c t K e y > < K e y > L i n k s \ & l t ; C o l u m n s \ C o u n t   o f   L o a n   Q u a l i t y & g t ; - & l t ; M e a s u r e s \ L o a n   Q u a l i t y & g t ; < / K e y > < / D i a g r a m O b j e c t K e y > < D i a g r a m O b j e c t K e y > < K e y > L i n k s \ & l t ; C o l u m n s \ C o u n t   o f   L o a n   Q u a l i t y & g t ; - & l t ; M e a s u r e s \ L o a n   Q u a l i t y & g t ; \ C O L U M N < / K e y > < / D i a g r a m O b j e c t K e y > < D i a g r a m O b j e c t K e y > < K e y > L i n k s \ & l t ; C o l u m n s \ C o u n t   o f   L o a n   Q u a l i t y & g t ; - & l t ; M e a s u r e s \ L o a n   Q u a l i t y & g t ; \ M E A S U R E < / K e y > < / D i a g r a m O b j e c t K e y > < D i a g r a m O b j e c t K e y > < K e y > L i n k s \ & l t ; C o l u m n s \ C o u n t   o f   s t a t e _ u n e m p l o y m e n t _ f l a g & g t ; - & l t ; M e a s u r e s \ s t a t e _ u n e m p l o y m e n t _ f l a g & g t ; < / K e y > < / D i a g r a m O b j e c t K e y > < D i a g r a m O b j e c t K e y > < K e y > L i n k s \ & l t ; C o l u m n s \ C o u n t   o f   s t a t e _ u n e m p l o y m e n t _ f l a g & g t ; - & l t ; M e a s u r e s \ s t a t e _ u n e m p l o y m e n t _ f l a g & g t ; \ C O L U M N < / K e y > < / D i a g r a m O b j e c t K e y > < D i a g r a m O b j e c t K e y > < K e y > L i n k s \ & l t ; C o l u m n s \ C o u n t   o f   s t a t e _ u n e m p l o y m e n t _ f l a g & g t ; - & l t ; M e a s u r e s \ s t a t e _ u n e m p l o y m e n t _ f l a g & g t ; \ M E A S U R E < / K e y > < / D i a g r a m O b j e c t K e y > < D i a g r a m O b j e c t K e y > < K e y > L i n k s \ & l t ; C o l u m n s \ S u m   o f   r e p a y m e n t _ e f f i c i e n c y _ r a t i o & g t ; - & l t ; M e a s u r e s \ r e p a y m e n t _ e f f i c i e n c y _ r a t i o & g t ; < / K e y > < / D i a g r a m O b j e c t K e y > < D i a g r a m O b j e c t K e y > < K e y > L i n k s \ & l t ; C o l u m n s \ S u m   o f   r e p a y m e n t _ e f f i c i e n c y _ r a t i o & g t ; - & l t ; M e a s u r e s \ r e p a y m e n t _ e f f i c i e n c y _ r a t i o & g t ; \ C O L U M N < / K e y > < / D i a g r a m O b j e c t K e y > < D i a g r a m O b j e c t K e y > < K e y > L i n k s \ & l t ; C o l u m n s \ S u m   o f   r e p a y m e n t _ e f f i c i e n c y _ r a t i o & g t ; - & l t ; M e a s u r e s \ r e p a y m e n t _ e f f i c i e n c y _ r a t i o & g t ; \ M E A S U R E < / K e y > < / D i a g r a m O b j e c t K e y > < D i a g r a m O b j e c t K e y > < K e y > L i n k s \ & l t ; C o l u m n s \ A v e r a g e   o f   r e p a y m e n t _ e f f i c i e n c y _ r a t i o & g t ; - & l t ; M e a s u r e s \ r e p a y m e n t _ e f f i c i e n c y _ r a t i o & g t ; < / K e y > < / D i a g r a m O b j e c t K e y > < D i a g r a m O b j e c t K e y > < K e y > L i n k s \ & l t ; C o l u m n s \ A v e r a g e   o f   r e p a y m e n t _ e f f i c i e n c y _ r a t i o & g t ; - & l t ; M e a s u r e s \ r e p a y m e n t _ e f f i c i e n c y _ r a t i o & g t ; \ C O L U M N < / K e y > < / D i a g r a m O b j e c t K e y > < D i a g r a m O b j e c t K e y > < K e y > L i n k s \ & l t ; C o l u m n s \ A v e r a g e   o f   r e p a y m e n t _ e f f i c i e n c y _ r a t i o & g t ; - & l t ; M e a s u r e s \ r e p a y m e n t _ e f f i c i e n c y _ r a t i o & g t ; \ M E A S U R E < / K e y > < / D i a g r a m O b j e c t K e y > < D i a g r a m O b j e c t K e y > < K e y > L i n k s \ & l t ; C o l u m n s \ C o u n t   o f   o w n e r s h i p _ f l a g & g t ; - & l t ; M e a s u r e s \ o w n e r s h i p _ f l a g & g t ; < / K e y > < / D i a g r a m O b j e c t K e y > < D i a g r a m O b j e c t K e y > < K e y > L i n k s \ & l t ; C o l u m n s \ C o u n t   o f   o w n e r s h i p _ f l a g & g t ; - & l t ; M e a s u r e s \ o w n e r s h i p _ f l a g & g t ; \ C O L U M N < / K e y > < / D i a g r a m O b j e c t K e y > < D i a g r a m O b j e c t K e y > < K e y > L i n k s \ & l t ; C o l u m n s \ C o u n t   o f   o w n e r s h i p _ f l a g & g t ; - & l t ; M e a s u r e s \ o w n e r s h i p _ f l a g & g t ; \ M E A S U R E < / K e y > < / D i a g r a m O b j e c t K e y > < D i a g r a m O b j e c t K e y > < K e y > L i n k s \ & l t ; C o l u m n s \ S u m   o f   a n n u a l _ i n c o m e & g t ; - & l t ; M e a s u r e s \ a n n u a l _ i n c o m e & g t ; < / K e y > < / D i a g r a m O b j e c t K e y > < D i a g r a m O b j e c t K e y > < K e y > L i n k s \ & l t ; C o l u m n s \ S u m   o f   a n n u a l _ i n c o m e & g t ; - & l t ; M e a s u r e s \ a n n u a l _ i n c o m e & g t ; \ C O L U M N < / K e y > < / D i a g r a m O b j e c t K e y > < D i a g r a m O b j e c t K e y > < K e y > L i n k s \ & l t ; C o l u m n s \ S u m   o f   a n n u a l _ i n c o m e & g t ; - & l t ; M e a s u r e s \ a n n u a l _ i n c o m e & g t ; \ M E A S U R E < / K e y > < / D i a g r a m O b j e c t K e y > < D i a g r a m O b j e c t K e y > < K e y > L i n k s \ & l t ; C o l u m n s \ A v e r a g e   o f   a n n u a l _ i n c o m e & g t ; - & l t ; M e a s u r e s \ a n n u a l _ i n c o m e & g t ; < / K e y > < / D i a g r a m O b j e c t K e y > < D i a g r a m O b j e c t K e y > < K e y > L i n k s \ & l t ; C o l u m n s \ A v e r a g e   o f   a n n u a l _ i n c o m e & g t ; - & l t ; M e a s u r e s \ a n n u a l _ i n c o m e & g t ; \ C O L U M N < / K e y > < / D i a g r a m O b j e c t K e y > < D i a g r a m O b j e c t K e y > < K e y > L i n k s \ & l t ; C o l u m n s \ A v e r a g e   o f   a n n u a l _ i n c o m e & g t ; - & l t ; M e a s u r e s \ a n n u a l _ i n c o m e & g t ; \ M E A S U R E < / K e y > < / D i a g r a m O b j e c t K e y > < D i a g r a m O b j e c t K e y > < K e y > L i n k s \ & l t ; C o l u m n s \ S u m   o f   l o a n _ a m o u n t & g t ; - & l t ; M e a s u r e s \ l o a n _ a m o u n t & g t ; < / K e y > < / D i a g r a m O b j e c t K e y > < D i a g r a m O b j e c t K e y > < K e y > L i n k s \ & l t ; C o l u m n s \ S u m   o f   l o a n _ a m o u n t & g t ; - & l t ; M e a s u r e s \ l o a n _ a m o u n t & g t ; \ C O L U M N < / K e y > < / D i a g r a m O b j e c t K e y > < D i a g r a m O b j e c t K e y > < K e y > L i n k s \ & l t ; C o l u m n s \ S u m   o f   l o a n _ a m o u n t & g t ; - & l t ; M e a s u r e s \ l o a n _ a m o u n t & g t ; \ M E A S U R E < / K e y > < / D i a g r a m O b j e c t K e y > < D i a g r a m O b j e c t K e y > < K e y > L i n k s \ & l t ; C o l u m n s \ A v e r a g e   o f   l o a n _ a m o u n t & g t ; - & l t ; M e a s u r e s \ l o a n _ a m o u n t & g t ; < / K e y > < / D i a g r a m O b j e c t K e y > < D i a g r a m O b j e c t K e y > < K e y > L i n k s \ & l t ; C o l u m n s \ A v e r a g e   o f   l o a n _ a m o u n t & g t ; - & l t ; M e a s u r e s \ l o a n _ a m o u n t & g t ; \ C O L U M N < / K e y > < / D i a g r a m O b j e c t K e y > < D i a g r a m O b j e c t K e y > < K e y > L i n k s \ & l t ; C o l u m n s \ A v e r a g e   o f   l o a n _ a m o u n t & g t ; - & l t ; M e a s u r e s \ l o a n _ a m o u n t & g t ; \ M E A S U R E < / K e y > < / D i a g r a m O b j e c t K e y > < D i a g r a m O b j e c t K e y > < K e y > L i n k s \ & l t ; C o l u m n s \ S u m   o f   i n t _ r a t e & g t ; - & l t ; M e a s u r e s \ i n t _ r a t e & g t ; < / K e y > < / D i a g r a m O b j e c t K e y > < D i a g r a m O b j e c t K e y > < K e y > L i n k s \ & l t ; C o l u m n s \ S u m   o f   i n t _ r a t e & g t ; - & l t ; M e a s u r e s \ i n t _ r a t e & g t ; \ C O L U M N < / K e y > < / D i a g r a m O b j e c t K e y > < D i a g r a m O b j e c t K e y > < K e y > L i n k s \ & l t ; C o l u m n s \ S u m   o f   i n t _ r a t e & g t ; - & l t ; M e a s u r e s \ i n t _ r a t e & g t ; \ M E A S U R E < / K e y > < / D i a g r a m O b j e c t K e y > < D i a g r a m O b j e c t K e y > < K e y > L i n k s \ & l t ; C o l u m n s \ A v e r a g e   o f   i n t _ r a t e & g t ; - & l t ; M e a s u r e s \ i n t _ r a t e & g t ; < / K e y > < / D i a g r a m O b j e c t K e y > < D i a g r a m O b j e c t K e y > < K e y > L i n k s \ & l t ; C o l u m n s \ A v e r a g e   o f   i n t _ r a t e & g t ; - & l t ; M e a s u r e s \ i n t _ r a t e & g t ; \ C O L U M N < / K e y > < / D i a g r a m O b j e c t K e y > < D i a g r a m O b j e c t K e y > < K e y > L i n k s \ & l t ; C o l u m n s \ A v e r a g e   o f   i n t _ r a t e & g t ; - & l t ; M e a s u r e s \ i n t _ r a t e & g t ; \ M E A S U R E 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 M e a s u r e s \ E x p e c t e d   L o a n   G r o w t h < / K e y > < / a : K e y > < a : V a l u e   i : t y p e = " M e a s u r e G r i d N o d e V i e w S t a t e " > < L a y e d O u t > t r u e < / L a y e d O u t > < / a : V a l u e > < / a : K e y V a l u e O f D i a g r a m O b j e c t K e y a n y T y p e z b w N T n L X > < a : K e y V a l u e O f D i a g r a m O b j e c t K e y a n y T y p e z b w N T n L X > < a : K e y > < K e y > M e a s u r e s \ E x p e c t e d   L o a n   G r o w t h \ T a g I n f o \ F o r m u l a < / K e y > < / a : K e y > < a : V a l u e   i : t y p e = " M e a s u r e G r i d V i e w S t a t e I D i a g r a m T a g A d d i t i o n a l I n f o " / > < / a : K e y V a l u e O f D i a g r a m O b j e c t K e y a n y T y p e z b w N T n L X > < a : K e y V a l u e O f D i a g r a m O b j e c t K e y a n y T y p e z b w N T n L X > < a : K e y > < K e y > M e a s u r e s \ E x p e c t e d   L o a n   G r o w t h \ T a g I n f o \ V a l u e < / K e y > < / a : K e y > < a : V a l u e   i : t y p e = " M e a s u r e G r i d V i e w S t a t e I D i a g r a m T a g A d d i t i o n a l I n f o " / > < / a : K e y V a l u e O f D i a g r a m O b j e c t K e y a n y T y p e z b w N T n L X > < a : K e y V a l u e O f D i a g r a m O b j e c t K e y a n y T y p e z b w N T n L X > < a : K e y > < K e y > M e a s u r e s \ e x p e c t e d   t o t a l   p a y m e n t < / K e y > < / a : K e y > < a : V a l u e   i : t y p e = " M e a s u r e G r i d N o d e V i e w S t a t e " > < L a y e d O u t > t r u e < / L a y e d O u t > < R o w > 1 < / R o w > < / a : V a l u e > < / a : K e y V a l u e O f D i a g r a m O b j e c t K e y a n y T y p e z b w N T n L X > < a : K e y V a l u e O f D i a g r a m O b j e c t K e y a n y T y p e z b w N T n L X > < a : K e y > < K e y > M e a s u r e s \ e x p e c t e d   t o t a l   p a y m e n t \ T a g I n f o \ F o r m u l a < / K e y > < / a : K e y > < a : V a l u e   i : t y p e = " M e a s u r e G r i d V i e w S t a t e I D i a g r a m T a g A d d i t i o n a l I n f o " / > < / a : K e y V a l u e O f D i a g r a m O b j e c t K e y a n y T y p e z b w N T n L X > < a : K e y V a l u e O f D i a g r a m O b j e c t K e y a n y T y p e z b w N T n L X > < a : K e y > < K e y > M e a s u r e s \ e x p e c t e d   t o t a l   p a y m e n t \ T a g I n f o \ V a l u e < / K e y > < / a : K e y > < a : V a l u e   i : t y p e = " M e a s u r e G r i d V i e w S t a t e I D i a g r a m T a g A d d i t i o n a l I n f o " / > < / a : K e y V a l u e O f D i a g r a m O b j e c t K e y a n y T y p e z b w N T n L X > < a : K e y V a l u e O f D i a g r a m O b j e c t K e y a n y T y p e z b w N T n L X > < a : K e y > < K e y > M e a s u r e s \ T o t a l   P a y m e n t < / K e y > < / a : K e y > < a : V a l u e   i : t y p e = " M e a s u r e G r i d N o d e V i e w S t a t e " > < L a y e d O u t > t r u e < / L a y e d O u t > < R o w > 2 < / R o w > < / a : V a l u e > < / a : K e y V a l u e O f D i a g r a m O b j e c t K e y a n y T y p e z b w N T n L X > < a : K e y V a l u e O f D i a g r a m O b j e c t K e y a n y T y p e z b w N T n L X > < a : K e y > < K e y > M e a s u r e s \ T o t a l   P a y m e n t \ T a g I n f o \ F o r m u l a < / K e y > < / a : K e y > < a : V a l u e   i : t y p e = " M e a s u r e G r i d V i e w S t a t e I D i a g r a m T a g A d d i t i o n a l I n f o " / > < / a : K e y V a l u e O f D i a g r a m O b j e c t K e y a n y T y p e z b w N T n L X > < a : K e y V a l u e O f D i a g r a m O b j e c t K e y a n y T y p e z b w N T n L X > < a : K e y > < K e y > M e a s u r e s \ T o t a l   P a y m e n t \ T a g I n f o \ V a l u e < / K e y > < / a : K e y > < a : V a l u e   i : t y p e = " M e a s u r e G r i d V i e w S t a t e I D i a g r a m T a g A d d i t i o n a l I n f o " / > < / a : K e y V a l u e O f D i a g r a m O b j e c t K e y a n y T y p e z b w N T n L X > < a : K e y V a l u e O f D i a g r a m O b j e c t K e y a n y T y p e z b w N T n L X > < a : K e y > < K e y > M e a s u r e s \ T o t a l   D i s b u r s e d   L o a n s < / K e y > < / a : K e y > < a : V a l u e   i : t y p e = " M e a s u r e G r i d N o d e V i e w S t a t e " > < L a y e d O u t > t r u e < / L a y e d O u t > < R o w > 3 < / R o w > < / a : V a l u e > < / a : K e y V a l u e O f D i a g r a m O b j e c t K e y a n y T y p e z b w N T n L X > < a : K e y V a l u e O f D i a g r a m O b j e c t K e y a n y T y p e z b w N T n L X > < a : K e y > < K e y > M e a s u r e s \ T o t a l   D i s b u r s e d   L o a n s \ T a g I n f o \ F o r m u l a < / K e y > < / a : K e y > < a : V a l u e   i : t y p e = " M e a s u r e G r i d V i e w S t a t e I D i a g r a m T a g A d d i t i o n a l I n f o " / > < / a : K e y V a l u e O f D i a g r a m O b j e c t K e y a n y T y p e z b w N T n L X > < a : K e y V a l u e O f D i a g r a m O b j e c t K e y a n y T y p e z b w N T n L X > < a : K e y > < K e y > M e a s u r e s \ T o t a l   D i s b u r s e d   L o a n s \ T a g I n f o \ V a l u e < / K e y > < / a : K e y > < a : V a l u e   i : t y p e = " M e a s u r e G r i d V i e w S t a t e I D i a g r a m T a g A d d i t i o n a l I n f o " / > < / a : K e y V a l u e O f D i a g r a m O b j e c t K e y a n y T y p e z b w N T n L X > < a : K e y V a l u e O f D i a g r a m O b j e c t K e y a n y T y p e z b w N T n L X > < a : K e y > < K e y > M e a s u r e s \ T o t a l   A m o u n t   D i s b u r s e d < / K e y > < / a : K e y > < a : V a l u e   i : t y p e = " M e a s u r e G r i d N o d e V i e w S t a t e " > < L a y e d O u t > t r u e < / L a y e d O u t > < R o w > 4 < / R o w > < / a : V a l u e > < / a : K e y V a l u e O f D i a g r a m O b j e c t K e y a n y T y p e z b w N T n L X > < a : K e y V a l u e O f D i a g r a m O b j e c t K e y a n y T y p e z b w N T n L X > < a : K e y > < K e y > M e a s u r e s \ T o t a l   A m o u n t   D i s b u r s e d \ T a g I n f o \ F o r m u l a < / K e y > < / a : K e y > < a : V a l u e   i : t y p e = " M e a s u r e G r i d V i e w S t a t e I D i a g r a m T a g A d d i t i o n a l I n f o " / > < / a : K e y V a l u e O f D i a g r a m O b j e c t K e y a n y T y p e z b w N T n L X > < a : K e y V a l u e O f D i a g r a m O b j e c t K e y a n y T y p e z b w N T n L X > < a : K e y > < K e y > M e a s u r e s \ T o t a l   A m o u n t   D i s b u r s e d \ T a g I n f o \ V a l u e < / K e y > < / a : K e y > < a : V a l u e   i : t y p e = " M e a s u r e G r i d V i e w S t a t e I D i a g r a m T a g A d d i t i o n a l I n f o " / > < / a : K e y V a l u e O f D i a g r a m O b j e c t K e y a n y T y p e z b w N T n L X > < a : K e y V a l u e O f D i a g r a m O b j e c t K e y a n y T y p e z b w N T n L X > < a : K e y > < K e y > M e a s u r e s \ A v g   D T I < / K e y > < / a : K e y > < a : V a l u e   i : t y p e = " M e a s u r e G r i d N o d e V i e w S t a t e " > < L a y e d O u t > t r u e < / L a y e d O u t > < R o w > 5 < / R o w > < / a : V a l u e > < / a : K e y V a l u e O f D i a g r a m O b j e c t K e y a n y T y p e z b w N T n L X > < a : K e y V a l u e O f D i a g r a m O b j e c t K e y a n y T y p e z b w N T n L X > < a : K e y > < K e y > M e a s u r e s \ A v g   D T I \ T a g I n f o \ F o r m u l a < / K e y > < / a : K e y > < a : V a l u e   i : t y p e = " M e a s u r e G r i d V i e w S t a t e I D i a g r a m T a g A d d i t i o n a l I n f o " / > < / a : K e y V a l u e O f D i a g r a m O b j e c t K e y a n y T y p e z b w N T n L X > < a : K e y V a l u e O f D i a g r a m O b j e c t K e y a n y T y p e z b w N T n L X > < a : K e y > < K e y > M e a s u r e s \ A v g   D T I \ T a g I n f o \ V a l u e < / K e y > < / a : K e y > < a : V a l u e   i : t y p e = " M e a s u r e G r i d V i e w S t a t e I D i a g r a m T a g A d d i t i o n a l I n f o " / > < / a : K e y V a l u e O f D i a g r a m O b j e c t K e y a n y T y p e z b w N T n L X > < a : K e y V a l u e O f D i a g r a m O b j e c t K e y a n y T y p e z b w N T n L X > < a : K e y > < K e y > M e a s u r e s \ A v g   I n t e r e s t   R a t e < / K e y > < / a : K e y > < a : V a l u e   i : t y p e = " M e a s u r e G r i d N o d e V i e w S t a t e " > < L a y e d O u t > t r u e < / L a y e d O u t > < R o w > 6 < / R o w > < / a : V a l u e > < / a : K e y V a l u e O f D i a g r a m O b j e c t K e y a n y T y p e z b w N T n L X > < a : K e y V a l u e O f D i a g r a m O b j e c t K e y a n y T y p e z b w N T n L X > < a : K e y > < K e y > M e a s u r e s \ A v g   I n t e r e s t   R a t e \ T a g I n f o \ F o r m u l a < / K e y > < / a : K e y > < a : V a l u e   i : t y p e = " M e a s u r e G r i d V i e w S t a t e I D i a g r a m T a g A d d i t i o n a l I n f o " / > < / a : K e y V a l u e O f D i a g r a m O b j e c t K e y a n y T y p e z b w N T n L X > < a : K e y V a l u e O f D i a g r a m O b j e c t K e y a n y T y p e z b w N T n L X > < a : K e y > < K e y > M e a s u r e s \ A v g   I n t e r e s t   R a t e \ T a g I n f o \ V a l u e < / K e y > < / a : K e y > < a : V a l u e   i : t y p e = " M e a s u r e G r i d V i e w S t a t e I D i a g r a m T a g A d d i t i o n a l I n f o " / > < / a : K e y V a l u e O f D i a g r a m O b j e c t K e y a n y T y p e z b w N T n L X > < a : K e y V a l u e O f D i a g r a m O b j e c t K e y a n y T y p e z b w N T n L X > < a : K e y > < K e y > M e a s u r e s \ E x p e c t e d   p a i d   % < / K e y > < / a : K e y > < a : V a l u e   i : t y p e = " M e a s u r e G r i d N o d e V i e w S t a t e " > < L a y e d O u t > t r u e < / L a y e d O u t > < R o w > 7 < / R o w > < / a : V a l u e > < / a : K e y V a l u e O f D i a g r a m O b j e c t K e y a n y T y p e z b w N T n L X > < a : K e y V a l u e O f D i a g r a m O b j e c t K e y a n y T y p e z b w N T n L X > < a : K e y > < K e y > M e a s u r e s \ E x p e c t e d   p a i d   % \ T a g I n f o \ F o r m u l a < / K e y > < / a : K e y > < a : V a l u e   i : t y p e = " M e a s u r e G r i d V i e w S t a t e I D i a g r a m T a g A d d i t i o n a l I n f o " / > < / a : K e y V a l u e O f D i a g r a m O b j e c t K e y a n y T y p e z b w N T n L X > < a : K e y V a l u e O f D i a g r a m O b j e c t K e y a n y T y p e z b w N T n L X > < a : K e y > < K e y > M e a s u r e s \ E x p e c t e d   p a i d   % \ T a g I n f o \ V a l u e < / K e y > < / a : K e y > < a : V a l u e   i : t y p e = " M e a s u r e G r i d V i e w S t a t e I D i a g r a m T a g A d d i t i o n a l I n f o " / > < / a : K e y V a l u e O f D i a g r a m O b j e c t K e y a n y T y p e z b w N T n L X > < a : K e y V a l u e O f D i a g r a m O b j e c t K e y a n y T y p e z b w N T n L X > < a : K e y > < K e y > M e a s u r e s \ %   F r a u d   L o a n s < / K e y > < / a : K e y > < a : V a l u e   i : t y p e = " M e a s u r e G r i d N o d e V i e w S t a t e " > < L a y e d O u t > t r u e < / L a y e d O u t > < R o w > 8 < / R o w > < / a : V a l u e > < / a : K e y V a l u e O f D i a g r a m O b j e c t K e y a n y T y p e z b w N T n L X > < a : K e y V a l u e O f D i a g r a m O b j e c t K e y a n y T y p e z b w N T n L X > < a : K e y > < K e y > M e a s u r e s \ %   F r a u d   L o a n s \ T a g I n f o \ F o r m u l a < / K e y > < / a : K e y > < a : V a l u e   i : t y p e = " M e a s u r e G r i d V i e w S t a t e I D i a g r a m T a g A d d i t i o n a l I n f o " / > < / a : K e y V a l u e O f D i a g r a m O b j e c t K e y a n y T y p e z b w N T n L X > < a : K e y V a l u e O f D i a g r a m O b j e c t K e y a n y T y p e z b w N T n L X > < a : K e y > < K e y > M e a s u r e s \ %   F r a u d   L o a n s \ T a g I n f o \ V a l u e < / K e y > < / a : K e y > < a : V a l u e   i : t y p e = " M e a s u r e G r i d V i e w S t a t e I D i a g r a m T a g A d d i t i o n a l I n f o " / > < / a : K e y V a l u e O f D i a g r a m O b j e c t K e y a n y T y p e z b w N T n L X > < a : K e y V a l u e O f D i a g r a m O b j e c t K e y a n y T y p e z b w N T n L X > < a : K e y > < K e y > M e a s u r e s \ A c t i v e   L o a n s < / K e y > < / a : K e y > < a : V a l u e   i : t y p e = " M e a s u r e G r i d N o d e V i e w S t a t e " > < L a y e d O u t > t r u e < / L a y e d O u t > < R o w > 9 < / R o w > < / a : V a l u e > < / a : K e y V a l u e O f D i a g r a m O b j e c t K e y a n y T y p e z b w N T n L X > < a : K e y V a l u e O f D i a g r a m O b j e c t K e y a n y T y p e z b w N T n L X > < a : K e y > < K e y > M e a s u r e s \ A c t i v e   L o a n s \ T a g I n f o \ F o r m u l a < / K e y > < / a : K e y > < a : V a l u e   i : t y p e = " M e a s u r e G r i d V i e w S t a t e I D i a g r a m T a g A d d i t i o n a l I n f o " / > < / a : K e y V a l u e O f D i a g r a m O b j e c t K e y a n y T y p e z b w N T n L X > < a : K e y V a l u e O f D i a g r a m O b j e c t K e y a n y T y p e z b w N T n L X > < a : K e y > < K e y > M e a s u r e s \ A c t i v e   L o a n s \ T a g I n f o \ V a l u e < / K e y > < / a : K e y > < a : V a l u e   i : t y p e = " M e a s u r e G r i d V i e w S t a t e I D i a g r a m T a g A d d i t i o n a l I n f o " / > < / a : K e y V a l u e O f D i a g r a m O b j e c t K e y a n y T y p e z b w N T n L X > < a : K e y V a l u e O f D i a g r a m O b j e c t K e y a n y T y p e z b w N T n L X > < a : K e y > < K e y > M e a s u r e s \ C h a r g e d   O f f / D e f a u l t e d   L o a n s < / K e y > < / a : K e y > < a : V a l u e   i : t y p e = " M e a s u r e G r i d N o d e V i e w S t a t e " > < L a y e d O u t > t r u e < / L a y e d O u t > < R o w > 1 0 < / R o w > < / a : V a l u e > < / a : K e y V a l u e O f D i a g r a m O b j e c t K e y a n y T y p e z b w N T n L X > < a : K e y V a l u e O f D i a g r a m O b j e c t K e y a n y T y p e z b w N T n L X > < a : K e y > < K e y > M e a s u r e s \ C h a r g e d   O f f / D e f a u l t e d   L o a n s \ T a g I n f o \ F o r m u l a < / K e y > < / a : K e y > < a : V a l u e   i : t y p e = " M e a s u r e G r i d V i e w S t a t e I D i a g r a m T a g A d d i t i o n a l I n f o " / > < / a : K e y V a l u e O f D i a g r a m O b j e c t K e y a n y T y p e z b w N T n L X > < a : K e y V a l u e O f D i a g r a m O b j e c t K e y a n y T y p e z b w N T n L X > < a : K e y > < K e y > M e a s u r e s \ C h a r g e d   O f f / D e f a u l t e d   L o a n s \ T a g I n f o \ V a l u e < / K e y > < / a : K e y > < a : V a l u e   i : t y p e = " M e a s u r e G r i d V i e w S t a t e I D i a g r a m T a g A d d i t i o n a l I n f o " / > < / a : K e y V a l u e O f D i a g r a m O b j e c t K e y a n y T y p e z b w N T n L X > < a : K e y V a l u e O f D i a g r a m O b j e c t K e y a n y T y p e z b w N T n L X > < a : K e y > < K e y > M e a s u r e s \ C l o s e d   L o a n s < / K e y > < / a : K e y > < a : V a l u e   i : t y p e = " M e a s u r e G r i d N o d e V i e w S t a t e " > < L a y e d O u t > t r u e < / L a y e d O u t > < R o w > 1 1 < / R o w > < / a : V a l u e > < / a : K e y V a l u e O f D i a g r a m O b j e c t K e y a n y T y p e z b w N T n L X > < a : K e y V a l u e O f D i a g r a m O b j e c t K e y a n y T y p e z b w N T n L X > < a : K e y > < K e y > M e a s u r e s \ C l o s e d   L o a n s \ T a g I n f o \ F o r m u l a < / K e y > < / a : K e y > < a : V a l u e   i : t y p e = " M e a s u r e G r i d V i e w S t a t e I D i a g r a m T a g A d d i t i o n a l I n f o " / > < / a : K e y V a l u e O f D i a g r a m O b j e c t K e y a n y T y p e z b w N T n L X > < a : K e y V a l u e O f D i a g r a m O b j e c t K e y a n y T y p e z b w N T n L X > < a : K e y > < K e y > M e a s u r e s \ C l o s e d   L o a n s \ T a g I n f o \ V a l u e < / K e y > < / a : K e y > < a : V a l u e   i : t y p e = " M e a s u r e G r i d V i e w S t a t e I D i a g r a m T a g A d d i t i o n a l I n f o " / > < / a : K e y V a l u e O f D i a g r a m O b j e c t K e y a n y T y p e z b w N T n L X > < a : K e y V a l u e O f D i a g r a m O b j e c t K e y a n y T y p e z b w N T n L X > < a : K e y > < K e y > M e a s u r e s \ %   C h a r g e d   O f f   L o a n s < / K e y > < / a : K e y > < a : V a l u e   i : t y p e = " M e a s u r e G r i d N o d e V i e w S t a t e " > < L a y e d O u t > t r u e < / L a y e d O u t > < R o w > 1 2 < / R o w > < / a : V a l u e > < / a : K e y V a l u e O f D i a g r a m O b j e c t K e y a n y T y p e z b w N T n L X > < a : K e y V a l u e O f D i a g r a m O b j e c t K e y a n y T y p e z b w N T n L X > < a : K e y > < K e y > M e a s u r e s \ %   C h a r g e d   O f f   L o a n s \ T a g I n f o \ F o r m u l a < / K e y > < / a : K e y > < a : V a l u e   i : t y p e = " M e a s u r e G r i d V i e w S t a t e I D i a g r a m T a g A d d i t i o n a l I n f o " / > < / a : K e y V a l u e O f D i a g r a m O b j e c t K e y a n y T y p e z b w N T n L X > < a : K e y V a l u e O f D i a g r a m O b j e c t K e y a n y T y p e z b w N T n L X > < a : K e y > < K e y > M e a s u r e s \ %   C h a r g e d   O f f   L o a n s \ T a g I n f o \ V a l u e < / K e y > < / a : K e y > < a : V a l u e   i : t y p e = " M e a s u r e G r i d V i e w S t a t e I D i a g r a m T a g A d d i t i o n a l I n f o " / > < / a : K e y V a l u e O f D i a g r a m O b j e c t K e y a n y T y p e z b w N T n L X > < a : K e y V a l u e O f D i a g r a m O b j e c t K e y a n y T y p e z b w N T n L X > < a : K e y > < K e y > M e a s u r e s \ R i s k   %   L o a n s < / K e y > < / a : K e y > < a : V a l u e   i : t y p e = " M e a s u r e G r i d N o d e V i e w S t a t e " > < L a y e d O u t > t r u e < / L a y e d O u t > < R o w > 1 3 < / R o w > < / a : V a l u e > < / a : K e y V a l u e O f D i a g r a m O b j e c t K e y a n y T y p e z b w N T n L X > < a : K e y V a l u e O f D i a g r a m O b j e c t K e y a n y T y p e z b w N T n L X > < a : K e y > < K e y > M e a s u r e s \ R i s k   %   L o a n s \ T a g I n f o \ F o r m u l a < / K e y > < / a : K e y > < a : V a l u e   i : t y p e = " M e a s u r e G r i d V i e w S t a t e I D i a g r a m T a g A d d i t i o n a l I n f o " / > < / a : K e y V a l u e O f D i a g r a m O b j e c t K e y a n y T y p e z b w N T n L X > < a : K e y V a l u e O f D i a g r a m O b j e c t K e y a n y T y p e z b w N T n L X > < a : K e y > < K e y > M e a s u r e s \ R i s k   %   L o a n s \ T a g I n f o \ V a l u e < / K e y > < / a : K e y > < a : V a l u e   i : t y p e = " M e a s u r e G r i d V i e w S t a t e I D i a g r a m T a g A d d i t i o n a l I n f o " / > < / a : K e y V a l u e O f D i a g r a m O b j e c t K e y a n y T y p e z b w N T n L X > < a : K e y V a l u e O f D i a g r a m O b j e c t K e y a n y T y p e z b w N T n L X > < a : K e y > < K e y > M e a s u r e s \ N o .   o f   C l e a n   L o a n s < / K e y > < / a : K e y > < a : V a l u e   i : t y p e = " M e a s u r e G r i d N o d e V i e w S t a t e " > < L a y e d O u t > t r u e < / L a y e d O u t > < R o w > 1 4 < / R o w > < / a : V a l u e > < / a : K e y V a l u e O f D i a g r a m O b j e c t K e y a n y T y p e z b w N T n L X > < a : K e y V a l u e O f D i a g r a m O b j e c t K e y a n y T y p e z b w N T n L X > < a : K e y > < K e y > M e a s u r e s \ N o .   o f   C l e a n   L o a n s \ T a g I n f o \ F o r m u l a < / K e y > < / a : K e y > < a : V a l u e   i : t y p e = " M e a s u r e G r i d V i e w S t a t e I D i a g r a m T a g A d d i t i o n a l I n f o " / > < / a : K e y V a l u e O f D i a g r a m O b j e c t K e y a n y T y p e z b w N T n L X > < a : K e y V a l u e O f D i a g r a m O b j e c t K e y a n y T y p e z b w N T n L X > < a : K e y > < K e y > M e a s u r e s \ N o .   o f   C l e a n   L o a n s \ T a g I n f o \ V a l u e < / K e y > < / a : K e y > < a : V a l u e   i : t y p e = " M e a s u r e G r i d V i e w S t a t e I D i a g r a m T a g A d d i t i o n a l I n f o " / > < / a : K e y V a l u e O f D i a g r a m O b j e c t K e y a n y T y p e z b w N T n L X > < a : K e y V a l u e O f D i a g r a m O b j e c t K e y a n y T y p e z b w N T n L X > < a : K e y > < K e y > M e a s u r e s \ N o .   o f   P o t e n t i a l   f r a u d s < / K e y > < / a : K e y > < a : V a l u e   i : t y p e = " M e a s u r e G r i d N o d e V i e w S t a t e " > < L a y e d O u t > t r u e < / L a y e d O u t > < R o w > 1 5 < / R o w > < / a : V a l u e > < / a : K e y V a l u e O f D i a g r a m O b j e c t K e y a n y T y p e z b w N T n L X > < a : K e y V a l u e O f D i a g r a m O b j e c t K e y a n y T y p e z b w N T n L X > < a : K e y > < K e y > M e a s u r e s \ N o .   o f   P o t e n t i a l   f r a u d s \ T a g I n f o \ F o r m u l a < / K e y > < / a : K e y > < a : V a l u e   i : t y p e = " M e a s u r e G r i d V i e w S t a t e I D i a g r a m T a g A d d i t i o n a l I n f o " / > < / a : K e y V a l u e O f D i a g r a m O b j e c t K e y a n y T y p e z b w N T n L X > < a : K e y V a l u e O f D i a g r a m O b j e c t K e y a n y T y p e z b w N T n L X > < a : K e y > < K e y > M e a s u r e s \ N o .   o f   P o t e n t i a l   f r a u d s \ T a g I n f o \ V a l u e < / K e y > < / a : K e y > < a : V a l u e   i : t y p e = " M e a s u r e G r i d V i e w S t a t e I D i a g r a m T a g A d d i t i o n a l I n f o " / > < / a : K e y V a l u e O f D i a g r a m O b j e c t K e y a n y T y p e z b w N T n L X > < a : K e y V a l u e O f D i a g r a m O b j e c t K e y a n y T y p e z b w N T n L X > < a : K e y > < K e y > M e a s u r e s \ N o .   o f   F a l s e   o w n e r s h i p   f l a g s < / K e y > < / a : K e y > < a : V a l u e   i : t y p e = " M e a s u r e G r i d N o d e V i e w S t a t e " > < L a y e d O u t > t r u e < / L a y e d O u t > < R o w > 1 6 < / R o w > < / a : V a l u e > < / a : K e y V a l u e O f D i a g r a m O b j e c t K e y a n y T y p e z b w N T n L X > < a : K e y V a l u e O f D i a g r a m O b j e c t K e y a n y T y p e z b w N T n L X > < a : K e y > < K e y > M e a s u r e s \ N o .   o f   F a l s e   o w n e r s h i p   f l a g s \ T a g I n f o \ F o r m u l a < / K e y > < / a : K e y > < a : V a l u e   i : t y p e = " M e a s u r e G r i d V i e w S t a t e I D i a g r a m T a g A d d i t i o n a l I n f o " / > < / a : K e y V a l u e O f D i a g r a m O b j e c t K e y a n y T y p e z b w N T n L X > < a : K e y V a l u e O f D i a g r a m O b j e c t K e y a n y T y p e z b w N T n L X > < a : K e y > < K e y > M e a s u r e s \ N o .   o f   F a l s e   o w n e r s h i p   f l a g s \ T a g I n f o \ V a l u e < / K e y > < / a : K e y > < a : V a l u e   i : t y p e = " M e a s u r e G r i d V i e w S t a t e I D i a g r a m T a g A d d i t i o n a l I n f o " / > < / a : K e y V a l u e O f D i a g r a m O b j e c t K e y a n y T y p e z b w N T n L X > < a : K e y V a l u e O f D i a g r a m O b j e c t K e y a n y T y p e z b w N T n L X > < a : K e y > < K e y > M e a s u r e s \ C o u n t   o f   e x p e c t e d _ t o t a l _ p a y m e n t < / K e y > < / a : K e y > < a : V a l u e   i : t y p e = " M e a s u r e G r i d N o d e V i e w S t a t e " > < C o l u m n > 2 6 < / C o l u m n > < L a y e d O u t > t r u e < / L a y e d O u t > < W a s U I I n v i s i b l e > t r u e < / W a s U I I n v i s i b l e > < / a : V a l u e > < / a : K e y V a l u e O f D i a g r a m O b j e c t K e y a n y T y p e z b w N T n L X > < a : K e y V a l u e O f D i a g r a m O b j e c t K e y a n y T y p e z b w N T n L X > < a : K e y > < K e y > M e a s u r e s \ C o u n t   o f   e x p e c t e d _ t o t a l _ p a y m e n t \ T a g I n f o \ F o r m u l a < / K e y > < / a : K e y > < a : V a l u e   i : t y p e = " M e a s u r e G r i d V i e w S t a t e I D i a g r a m T a g A d d i t i o n a l I n f o " / > < / a : K e y V a l u e O f D i a g r a m O b j e c t K e y a n y T y p e z b w N T n L X > < a : K e y V a l u e O f D i a g r a m O b j e c t K e y a n y T y p e z b w N T n L X > < a : K e y > < K e y > M e a s u r e s \ C o u n t   o f   e x p e c t e d _ t o t a l _ p a y m e n t \ T a g I n f o \ V a l u e < / K e y > < / a : K e y > < a : V a l u e   i : t y p e = " M e a s u r e G r i d V i e w S t a t e I D i a g r a m T a g A d d i t i o n a l I n f o " / > < / a : K e y V a l u e O f D i a g r a m O b j e c t K e y a n y T y p e z b w N T n L X > < a : K e y V a l u e O f D i a g r a m O b j e c t K e y a n y T y p e z b w N T n L X > < a : K e y > < K e y > M e a s u r e s \ C o u n t   o f   t o t a l _ p a y m e n t < / K e y > < / a : K e y > < a : V a l u e   i : t y p e = " M e a s u r e G r i d N o d e V i e w S t a t e " > < C o l u m n > 2 5 < / C o l u m n > < L a y e d O u t > t r u e < / L a y e d O u t > < W a s U I I n v i s i b l e > t r u e < / W a s U I I n v i s i b l e > < / a : V a l u e > < / a : K e y V a l u e O f D i a g r a m O b j e c t K e y a n y T y p e z b w N T n L X > < a : K e y V a l u e O f D i a g r a m O b j e c t K e y a n y T y p e z b w N T n L X > < a : K e y > < K e y > M e a s u r e s \ C o u n t   o f   t o t a l _ p a y m e n t \ T a g I n f o \ F o r m u l a < / K e y > < / a : K e y > < a : V a l u e   i : t y p e = " M e a s u r e G r i d V i e w S t a t e I D i a g r a m T a g A d d i t i o n a l I n f o " / > < / a : K e y V a l u e O f D i a g r a m O b j e c t K e y a n y T y p e z b w N T n L X > < a : K e y V a l u e O f D i a g r a m O b j e c t K e y a n y T y p e z b w N T n L X > < a : K e y > < K e y > M e a s u r e s \ C o u n t   o f   t o t a l _ p a y m e n t \ T a g I n f o \ V a l u e < / K e y > < / a : K e y > < a : V a l u e   i : t y p e = " M e a s u r e G r i d V i e w S t a t e I D i a g r a m T a g A d d i t i o n a l I n f o " / > < / a : K e y V a l u e O f D i a g r a m O b j e c t K e y a n y T y p e z b w N T n L X > < a : K e y V a l u e O f D i a g r a m O b j e c t K e y a n y T y p e z b w N T n L X > < a : K e y > < K e y > M e a s u r e s \ S u m   o f   t o t a l _ p a y m e n t < / K e y > < / a : K e y > < a : V a l u e   i : t y p e = " M e a s u r e G r i d N o d e V i e w S t a t e " > < C o l u m n > 2 5 < / C o l u m n > < L a y e d O u t > t r u e < / L a y e d O u t > < R o w > 1 < / R o w > < W a s U I I n v i s i b l e > t r u e < / W a s U I I n v i s i b l e > < / a : V a l u e > < / a : K e y V a l u e O f D i a g r a m O b j e c t K e y a n y T y p e z b w N T n L X > < a : K e y V a l u e O f D i a g r a m O b j e c t K e y a n y T y p e z b w N T n L X > < a : K e y > < K e y > M e a s u r e s \ S u m   o f   t o t a l _ p a y m e n t \ T a g I n f o \ F o r m u l a < / K e y > < / a : K e y > < a : V a l u e   i : t y p e = " M e a s u r e G r i d V i e w S t a t e I D i a g r a m T a g A d d i t i o n a l I n f o " / > < / a : K e y V a l u e O f D i a g r a m O b j e c t K e y a n y T y p e z b w N T n L X > < a : K e y V a l u e O f D i a g r a m O b j e c t K e y a n y T y p e z b w N T n L X > < a : K e y > < K e y > M e a s u r e s \ S u m   o f   t o t a l _ p a y m e n t \ T a g I n f o \ V a l u e < / K e y > < / a : K e y > < a : V a l u e   i : t y p e = " M e a s u r e G r i d V i e w S t a t e I D i a g r a m T a g A d d i t i o n a l I n f o " / > < / a : K e y V a l u e O f D i a g r a m O b j e c t K e y a n y T y p e z b w N T n L X > < a : K e y V a l u e O f D i a g r a m O b j e c t K e y a n y T y p e z b w N T n L X > < a : K e y > < K e y > M e a s u r e s \ S u m   o f   e x p e c t e d _ t o t a l _ p a y m e n t < / K e y > < / a : K e y > < a : V a l u e   i : t y p e = " M e a s u r e G r i d N o d e V i e w S t a t e " > < C o l u m n > 2 6 < / C o l u m n > < L a y e d O u t > t r u e < / L a y e d O u t > < R o w > 1 < / R o w > < W a s U I I n v i s i b l e > t r u e < / W a s U I I n v i s i b l e > < / a : V a l u e > < / a : K e y V a l u e O f D i a g r a m O b j e c t K e y a n y T y p e z b w N T n L X > < a : K e y V a l u e O f D i a g r a m O b j e c t K e y a n y T y p e z b w N T n L X > < a : K e y > < K e y > M e a s u r e s \ S u m   o f   e x p e c t e d _ t o t a l _ p a y m e n t \ T a g I n f o \ F o r m u l a < / K e y > < / a : K e y > < a : V a l u e   i : t y p e = " M e a s u r e G r i d V i e w S t a t e I D i a g r a m T a g A d d i t i o n a l I n f o " / > < / a : K e y V a l u e O f D i a g r a m O b j e c t K e y a n y T y p e z b w N T n L X > < a : K e y V a l u e O f D i a g r a m O b j e c t K e y a n y T y p e z b w N T n L X > < a : K e y > < K e y > M e a s u r e s \ S u m   o f   e x p e c t e d _ t o t a l _ p a y m e n t \ T a g I n f o \ V a l u e < / K e y > < / a : K e y > < a : V a l u e   i : t y p e = " M e a s u r e G r i d V i e w S t a t e I D i a g r a m T a g A d d i t i o n a l I n f o " / > < / a : K e y V a l u e O f D i a g r a m O b j e c t K e y a n y T y p e z b w N T n L X > < a : K e y V a l u e O f D i a g r a m O b j e c t K e y a n y T y p e z b w N T n L X > < a : K e y > < K e y > M e a s u r e s \ S u m   o f   u n e m p l o y m e n t _ r a t e < / K e y > < / a : K e y > < a : V a l u e   i : t y p e = " M e a s u r e G r i d N o d e V i e w S t a t e " > < C o l u m n > 3 0 < / C o l u m n > < L a y e d O u t > t r u e < / L a y e d O u t > < W a s U I I n v i s i b l e > t r u e < / W a s U I I n v i s i b l e > < / a : V a l u e > < / a : K e y V a l u e O f D i a g r a m O b j e c t K e y a n y T y p e z b w N T n L X > < a : K e y V a l u e O f D i a g r a m O b j e c t K e y a n y T y p e z b w N T n L X > < a : K e y > < K e y > M e a s u r e s \ S u m   o f   u n e m p l o y m e n t _ r a t e \ T a g I n f o \ F o r m u l a < / K e y > < / a : K e y > < a : V a l u e   i : t y p e = " M e a s u r e G r i d V i e w S t a t e I D i a g r a m T a g A d d i t i o n a l I n f o " / > < / a : K e y V a l u e O f D i a g r a m O b j e c t K e y a n y T y p e z b w N T n L X > < a : K e y V a l u e O f D i a g r a m O b j e c t K e y a n y T y p e z b w N T n L X > < a : K e y > < K e y > M e a s u r e s \ S u m   o f   u n e m p l o y m e n t _ r a t e \ T a g I n f o \ V a l u e < / K e y > < / a : K e y > < a : V a l u e   i : t y p e = " M e a s u r e G r i d V i e w S t a t e I D i a g r a m T a g A d d i t i o n a l I n f o " / > < / a : K e y V a l u e O f D i a g r a m O b j e c t K e y a n y T y p e z b w N T n L X > < a : K e y V a l u e O f D i a g r a m O b j e c t K e y a n y T y p e z b w N T n L X > < a : K e y > < K e y > M e a s u r e s \ C o u n t   o f   R i s k F l a g < / K e y > < / a : K e y > < a : V a l u e   i : t y p e = " M e a s u r e G r i d N o d e V i e w S t a t e " > < C o l u m n > 3 2 < / C o l u m n > < L a y e d O u t > t r u e < / L a y e d O u t > < W a s U I I n v i s i b l e > t r u e < / W a s U I I n v i s i b l e > < / a : V a l u e > < / a : K e y V a l u e O f D i a g r a m O b j e c t K e y a n y T y p e z b w N T n L X > < a : K e y V a l u e O f D i a g r a m O b j e c t K e y a n y T y p e z b w N T n L X > < a : K e y > < K e y > M e a s u r e s \ C o u n t   o f   R i s k F l a g \ T a g I n f o \ F o r m u l a < / K e y > < / a : K e y > < a : V a l u e   i : t y p e = " M e a s u r e G r i d V i e w S t a t e I D i a g r a m T a g A d d i t i o n a l I n f o " / > < / a : K e y V a l u e O f D i a g r a m O b j e c t K e y a n y T y p e z b w N T n L X > < a : K e y V a l u e O f D i a g r a m O b j e c t K e y a n y T y p e z b w N T n L X > < a : K e y > < K e y > M e a s u r e s \ C o u n t   o f   R i s k F l a g \ T a g I n f o \ V a l u e < / K e y > < / a : K e y > < a : V a l u e   i : t y p e = " M e a s u r e G r i d V i e w S t a t e I D i a g r a m T a g A d d i t i o n a l I n f o " / > < / a : K e y V a l u e O f D i a g r a m O b j e c t K e y a n y T y p e z b w N T n L X > < a : K e y V a l u e O f D i a g r a m O b j e c t K e y a n y T y p e z b w N T n L X > < a : K e y > < K e y > M e a s u r e s \ C o u n t   o f   f r a u d _ d e t e c t i o n _ f l a g < / K e y > < / a : K e y > < a : V a l u e   i : t y p e = " M e a s u r e G r i d N o d e V i e w S t a t e " > < C o l u m n > 3 5 < / C o l u m n > < L a y e d O u t > t r u e < / L a y e d O u t > < W a s U I I n v i s i b l e > t r u e < / W a s U I I n v i s i b l e > < / a : V a l u e > < / a : K e y V a l u e O f D i a g r a m O b j e c t K e y a n y T y p e z b w N T n L X > < a : K e y V a l u e O f D i a g r a m O b j e c t K e y a n y T y p e z b w N T n L X > < a : K e y > < K e y > M e a s u r e s \ C o u n t   o f   f r a u d _ d e t e c t i o n _ f l a g \ T a g I n f o \ F o r m u l a < / K e y > < / a : K e y > < a : V a l u e   i : t y p e = " M e a s u r e G r i d V i e w S t a t e I D i a g r a m T a g A d d i t i o n a l I n f o " / > < / a : K e y V a l u e O f D i a g r a m O b j e c t K e y a n y T y p e z b w N T n L X > < a : K e y V a l u e O f D i a g r a m O b j e c t K e y a n y T y p e z b w N T n L X > < a : K e y > < K e y > M e a s u r e s \ C o u n t   o f   f r a u d _ d e t e c t i o n _ f l a g \ T a g I n f o \ V a l u e < / K e y > < / a : K e y > < a : V a l u e   i : t y p e = " M e a s u r e G r i d V i e w S t a t e I D i a g r a m T a g A d d i t i o n a l I n f o " / > < / a : K e y V a l u e O f D i a g r a m O b j e c t K e y a n y T y p e z b w N T n L X > < a : K e y V a l u e O f D i a g r a m O b j e c t K e y a n y T y p e z b w N T n L X > < a : K e y > < K e y > M e a s u r e s \ C o u n t   o f   D T I   F l a g < / K e y > < / a : K e y > < a : V a l u e   i : t y p e = " M e a s u r e G r i d N o d e V i e w S t a t e " > < C o l u m n > 2 8 < / C o l u m n > < L a y e d O u t > t r u e < / L a y e d O u t > < W a s U I I n v i s i b l e > t r u e < / W a s U I I n v i s i b l e > < / a : V a l u e > < / a : K e y V a l u e O f D i a g r a m O b j e c t K e y a n y T y p e z b w N T n L X > < a : K e y V a l u e O f D i a g r a m O b j e c t K e y a n y T y p e z b w N T n L X > < a : K e y > < K e y > M e a s u r e s \ C o u n t   o f   D T I   F l a g \ T a g I n f o \ F o r m u l a < / K e y > < / a : K e y > < a : V a l u e   i : t y p e = " M e a s u r e G r i d V i e w S t a t e I D i a g r a m T a g A d d i t i o n a l I n f o " / > < / a : K e y V a l u e O f D i a g r a m O b j e c t K e y a n y T y p e z b w N T n L X > < a : K e y V a l u e O f D i a g r a m O b j e c t K e y a n y T y p e z b w N T n L X > < a : K e y > < K e y > M e a s u r e s \ C o u n t   o f   D T I   F l a g \ T a g I n f o \ V a l u e < / K e y > < / a : K e y > < a : V a l u e   i : t y p e = " M e a s u r e G r i d V i e w S t a t e I D i a g r a m T a g A d d i t i o n a l I n f o " / > < / a : K e y V a l u e O f D i a g r a m O b j e c t K e y a n y T y p e z b w N T n L X > < a : K e y V a l u e O f D i a g r a m O b j e c t K e y a n y T y p e z b w N T n L X > < a : K e y > < K e y > M e a s u r e s \ C o u n t   o f   e m p _ l e n g t h < / K e y > < / a : K e y > < a : V a l u e   i : t y p e = " M e a s u r e G r i d N o d e V i e w S t a t e " > < C o l u m n > 4 < / C o l u m n > < L a y e d O u t > t r u e < / L a y e d O u t > < W a s U I I n v i s i b l e > t r u e < / W a s U I I n v i s i b l e > < / a : V a l u e > < / a : K e y V a l u e O f D i a g r a m O b j e c t K e y a n y T y p e z b w N T n L X > < a : K e y V a l u e O f D i a g r a m O b j e c t K e y a n y T y p e z b w N T n L X > < a : K e y > < K e y > M e a s u r e s \ C o u n t   o f   e m p _ l e n g t h \ T a g I n f o \ F o r m u l a < / K e y > < / a : K e y > < a : V a l u e   i : t y p e = " M e a s u r e G r i d V i e w S t a t e I D i a g r a m T a g A d d i t i o n a l I n f o " / > < / a : K e y V a l u e O f D i a g r a m O b j e c t K e y a n y T y p e z b w N T n L X > < a : K e y V a l u e O f D i a g r a m O b j e c t K e y a n y T y p e z b w N T n L X > < a : K e y > < K e y > M e a s u r e s \ C o u n t   o f   e m p _ l e n g t h \ T a g I n f o \ V a l u e < / K e y > < / a : K e y > < a : V a l u e   i : t y p e = " M e a s u r e G r i d V i e w S t a t e I D i a g r a m T a g A d d i t i o n a l I n f o " / > < / a : K e y V a l u e O f D i a g r a m O b j e c t K e y a n y T y p e z b w N T n L X > < a : K e y V a l u e O f D i a g r a m O b j e c t K e y a n y T y p e z b w N T n L X > < a : K e y > < K e y > M e a s u r e s \ C o u n t   o f   h o m e _ o w n e r s h i p < / K e y > < / a : K e y > < a : V a l u e   i : t y p e = " M e a s u r e G r i d N o d e V i e w S t a t e " > < C o l u m n > 8 < / C o l u m n > < L a y e d O u t > t r u e < / L a y e d O u t > < W a s U I I n v i s i b l e > t r u e < / W a s U I I n v i s i b l e > < / a : V a l u e > < / a : K e y V a l u e O f D i a g r a m O b j e c t K e y a n y T y p e z b w N T n L X > < a : K e y V a l u e O f D i a g r a m O b j e c t K e y a n y T y p e z b w N T n L X > < a : K e y > < K e y > M e a s u r e s \ C o u n t   o f   h o m e _ o w n e r s h i p \ T a g I n f o \ F o r m u l a < / K e y > < / a : K e y > < a : V a l u e   i : t y p e = " M e a s u r e G r i d V i e w S t a t e I D i a g r a m T a g A d d i t i o n a l I n f o " / > < / a : K e y V a l u e O f D i a g r a m O b j e c t K e y a n y T y p e z b w N T n L X > < a : K e y V a l u e O f D i a g r a m O b j e c t K e y a n y T y p e z b w N T n L X > < a : K e y > < K e y > M e a s u r e s \ C o u n t   o f   h o m e _ o w n e r s h i p \ T a g I n f o \ V a l u e < / K e y > < / a : K e y > < a : V a l u e   i : t y p e = " M e a s u r e G r i d V i e w S t a t e I D i a g r a m T a g A d d i t i o n a l I n f o " / > < / a : K e y V a l u e O f D i a g r a m O b j e c t K e y a n y T y p e z b w N T n L X > < a : K e y V a l u e O f D i a g r a m O b j e c t K e y a n y T y p e z b w N T n L X > < a : K e y > < K e y > M e a s u r e s \ C o u n t   o f   L o a n   Q u a l i t y < / K e y > < / a : K e y > < a : V a l u e   i : t y p e = " M e a s u r e G r i d N o d e V i e w S t a t e " > < C o l u m n > 1 3 < / C o l u m n > < L a y e d O u t > t r u e < / L a y e d O u t > < W a s U I I n v i s i b l e > t r u e < / W a s U I I n v i s i b l e > < / a : V a l u e > < / a : K e y V a l u e O f D i a g r a m O b j e c t K e y a n y T y p e z b w N T n L X > < a : K e y V a l u e O f D i a g r a m O b j e c t K e y a n y T y p e z b w N T n L X > < a : K e y > < K e y > M e a s u r e s \ C o u n t   o f   L o a n   Q u a l i t y \ T a g I n f o \ F o r m u l a < / K e y > < / a : K e y > < a : V a l u e   i : t y p e = " M e a s u r e G r i d V i e w S t a t e I D i a g r a m T a g A d d i t i o n a l I n f o " / > < / a : K e y V a l u e O f D i a g r a m O b j e c t K e y a n y T y p e z b w N T n L X > < a : K e y V a l u e O f D i a g r a m O b j e c t K e y a n y T y p e z b w N T n L X > < a : K e y > < K e y > M e a s u r e s \ C o u n t   o f   L o a n   Q u a l i t y \ T a g I n f o \ V a l u e < / K e y > < / a : K e y > < a : V a l u e   i : t y p e = " M e a s u r e G r i d V i e w S t a t e I D i a g r a m T a g A d d i t i o n a l I n f o " / > < / a : K e y V a l u e O f D i a g r a m O b j e c t K e y a n y T y p e z b w N T n L X > < a : K e y V a l u e O f D i a g r a m O b j e c t K e y a n y T y p e z b w N T n L X > < a : K e y > < K e y > M e a s u r e s \ C o u n t   o f   s t a t e _ u n e m p l o y m e n t _ f l a g < / K e y > < / a : K e y > < a : V a l u e   i : t y p e = " M e a s u r e G r i d N o d e V i e w S t a t e " > < C o l u m n > 3 1 < / C o l u m n > < L a y e d O u t > t r u e < / L a y e d O u t > < W a s U I I n v i s i b l e > t r u e < / W a s U I I n v i s i b l e > < / a : V a l u e > < / a : K e y V a l u e O f D i a g r a m O b j e c t K e y a n y T y p e z b w N T n L X > < a : K e y V a l u e O f D i a g r a m O b j e c t K e y a n y T y p e z b w N T n L X > < a : K e y > < K e y > M e a s u r e s \ C o u n t   o f   s t a t e _ u n e m p l o y m e n t _ f l a g \ T a g I n f o \ F o r m u l a < / K e y > < / a : K e y > < a : V a l u e   i : t y p e = " M e a s u r e G r i d V i e w S t a t e I D i a g r a m T a g A d d i t i o n a l I n f o " / > < / a : K e y V a l u e O f D i a g r a m O b j e c t K e y a n y T y p e z b w N T n L X > < a : K e y V a l u e O f D i a g r a m O b j e c t K e y a n y T y p e z b w N T n L X > < a : K e y > < K e y > M e a s u r e s \ C o u n t   o f   s t a t e _ u n e m p l o y m e n t _ f l a g \ T a g I n f o \ V a l u e < / K e y > < / a : K e y > < a : V a l u e   i : t y p e = " M e a s u r e G r i d V i e w S t a t e I D i a g r a m T a g A d d i t i o n a l I n f o " / > < / a : K e y V a l u e O f D i a g r a m O b j e c t K e y a n y T y p e z b w N T n L X > < a : K e y V a l u e O f D i a g r a m O b j e c t K e y a n y T y p e z b w N T n L X > < a : K e y > < K e y > M e a s u r e s \ S u m   o f   r e p a y m e n t _ e f f i c i e n c y _ r a t i o < / K e y > < / a : K e y > < a : V a l u e   i : t y p e = " M e a s u r e G r i d N o d e V i e w S t a t e " > < C o l u m n > 3 8 < / C o l u m n > < L a y e d O u t > t r u e < / L a y e d O u t > < W a s U I I n v i s i b l e > t r u e < / W a s U I I n v i s i b l e > < / a : V a l u e > < / a : K e y V a l u e O f D i a g r a m O b j e c t K e y a n y T y p e z b w N T n L X > < a : K e y V a l u e O f D i a g r a m O b j e c t K e y a n y T y p e z b w N T n L X > < a : K e y > < K e y > M e a s u r e s \ S u m   o f   r e p a y m e n t _ e f f i c i e n c y _ r a t i o \ T a g I n f o \ F o r m u l a < / K e y > < / a : K e y > < a : V a l u e   i : t y p e = " M e a s u r e G r i d V i e w S t a t e I D i a g r a m T a g A d d i t i o n a l I n f o " / > < / a : K e y V a l u e O f D i a g r a m O b j e c t K e y a n y T y p e z b w N T n L X > < a : K e y V a l u e O f D i a g r a m O b j e c t K e y a n y T y p e z b w N T n L X > < a : K e y > < K e y > M e a s u r e s \ S u m   o f   r e p a y m e n t _ e f f i c i e n c y _ r a t i o \ T a g I n f o \ V a l u e < / K e y > < / a : K e y > < a : V a l u e   i : t y p e = " M e a s u r e G r i d V i e w S t a t e I D i a g r a m T a g A d d i t i o n a l I n f o " / > < / a : K e y V a l u e O f D i a g r a m O b j e c t K e y a n y T y p e z b w N T n L X > < a : K e y V a l u e O f D i a g r a m O b j e c t K e y a n y T y p e z b w N T n L X > < a : K e y > < K e y > M e a s u r e s \ A v e r a g e   o f   r e p a y m e n t _ e f f i c i e n c y _ r a t i o < / K e y > < / a : K e y > < a : V a l u e   i : t y p e = " M e a s u r e G r i d N o d e V i e w S t a t e " > < C o l u m n > 3 8 < / C o l u m n > < L a y e d O u t > t r u e < / L a y e d O u t > < W a s U I I n v i s i b l e > t r u e < / W a s U I I n v i s i b l e > < / a : V a l u e > < / a : K e y V a l u e O f D i a g r a m O b j e c t K e y a n y T y p e z b w N T n L X > < a : K e y V a l u e O f D i a g r a m O b j e c t K e y a n y T y p e z b w N T n L X > < a : K e y > < K e y > M e a s u r e s \ A v e r a g e   o f   r e p a y m e n t _ e f f i c i e n c y _ r a t i o \ T a g I n f o \ F o r m u l a < / K e y > < / a : K e y > < a : V a l u e   i : t y p e = " M e a s u r e G r i d V i e w S t a t e I D i a g r a m T a g A d d i t i o n a l I n f o " / > < / a : K e y V a l u e O f D i a g r a m O b j e c t K e y a n y T y p e z b w N T n L X > < a : K e y V a l u e O f D i a g r a m O b j e c t K e y a n y T y p e z b w N T n L X > < a : K e y > < K e y > M e a s u r e s \ A v e r a g e   o f   r e p a y m e n t _ e f f i c i e n c y _ r a t i o \ T a g I n f o \ V a l u e < / K e y > < / a : K e y > < a : V a l u e   i : t y p e = " M e a s u r e G r i d V i e w S t a t e I D i a g r a m T a g A d d i t i o n a l I n f o " / > < / a : K e y V a l u e O f D i a g r a m O b j e c t K e y a n y T y p e z b w N T n L X > < a : K e y V a l u e O f D i a g r a m O b j e c t K e y a n y T y p e z b w N T n L X > < a : K e y > < K e y > M e a s u r e s \ C o u n t   o f   o w n e r s h i p _ f l a g < / K e y > < / a : K e y > < a : V a l u e   i : t y p e = " M e a s u r e G r i d N o d e V i e w S t a t e " > < C o l u m n > 3 4 < / C o l u m n > < L a y e d O u t > t r u e < / L a y e d O u t > < W a s U I I n v i s i b l e > t r u e < / W a s U I I n v i s i b l e > < / a : V a l u e > < / a : K e y V a l u e O f D i a g r a m O b j e c t K e y a n y T y p e z b w N T n L X > < a : K e y V a l u e O f D i a g r a m O b j e c t K e y a n y T y p e z b w N T n L X > < a : K e y > < K e y > M e a s u r e s \ C o u n t   o f   o w n e r s h i p _ f l a g \ T a g I n f o \ F o r m u l a < / K e y > < / a : K e y > < a : V a l u e   i : t y p e = " M e a s u r e G r i d V i e w S t a t e I D i a g r a m T a g A d d i t i o n a l I n f o " / > < / a : K e y V a l u e O f D i a g r a m O b j e c t K e y a n y T y p e z b w N T n L X > < a : K e y V a l u e O f D i a g r a m O b j e c t K e y a n y T y p e z b w N T n L X > < a : K e y > < K e y > M e a s u r e s \ C o u n t   o f   o w n e r s h i p _ f l a g \ T a g I n f o \ V a l u e < / K e y > < / a : K e y > < a : V a l u e   i : t y p e = " M e a s u r e G r i d V i e w S t a t e I D i a g r a m T a g A d d i t i o n a l I n f o " / > < / a : K e y V a l u e O f D i a g r a m O b j e c t K e y a n y T y p e z b w N T n L X > < a : K e y V a l u e O f D i a g r a m O b j e c t K e y a n y T y p e z b w N T n L X > < a : K e y > < K e y > M e a s u r e s \ S u m   o f   a n n u a l _ i n c o m e < / K e y > < / a : K e y > < a : V a l u e   i : t y p e = " M e a s u r e G r i d N o d e V i e w S t a t e " > < C o l u m n > 1 9 < / C o l u m n > < L a y e d O u t > t r u e < / L a y e d O u t > < W a s U I I n v i s i b l e > t r u e < / W a s U I I n v i s i b l e > < / a : V a l u e > < / a : K e y V a l u e O f D i a g r a m O b j e c t K e y a n y T y p e z b w N T n L X > < a : K e y V a l u e O f D i a g r a m O b j e c t K e y a n y T y p e z b w N T n L X > < a : K e y > < K e y > M e a s u r e s \ S u m   o f   a n n u a l _ i n c o m e \ T a g I n f o \ F o r m u l a < / K e y > < / a : K e y > < a : V a l u e   i : t y p e = " M e a s u r e G r i d V i e w S t a t e I D i a g r a m T a g A d d i t i o n a l I n f o " / > < / a : K e y V a l u e O f D i a g r a m O b j e c t K e y a n y T y p e z b w N T n L X > < a : K e y V a l u e O f D i a g r a m O b j e c t K e y a n y T y p e z b w N T n L X > < a : K e y > < K e y > M e a s u r e s \ S u m   o f   a n n u a l _ i n c o m e \ T a g I n f o \ V a l u e < / K e y > < / a : K e y > < a : V a l u e   i : t y p e = " M e a s u r e G r i d V i e w S t a t e I D i a g r a m T a g A d d i t i o n a l I n f o " / > < / a : K e y V a l u e O f D i a g r a m O b j e c t K e y a n y T y p e z b w N T n L X > < a : K e y V a l u e O f D i a g r a m O b j e c t K e y a n y T y p e z b w N T n L X > < a : K e y > < K e y > M e a s u r e s \ A v e r a g e   o f   a n n u a l _ i n c o m e < / K e y > < / a : K e y > < a : V a l u e   i : t y p e = " M e a s u r e G r i d N o d e V i e w S t a t e " > < C o l u m n > 1 9 < / C o l u m n > < L a y e d O u t > t r u e < / L a y e d O u t > < W a s U I I n v i s i b l e > t r u e < / W a s U I I n v i s i b l e > < / a : V a l u e > < / a : K e y V a l u e O f D i a g r a m O b j e c t K e y a n y T y p e z b w N T n L X > < a : K e y V a l u e O f D i a g r a m O b j e c t K e y a n y T y p e z b w N T n L X > < a : K e y > < K e y > M e a s u r e s \ A v e r a g e   o f   a n n u a l _ i n c o m e \ T a g I n f o \ F o r m u l a < / K e y > < / a : K e y > < a : V a l u e   i : t y p e = " M e a s u r e G r i d V i e w S t a t e I D i a g r a m T a g A d d i t i o n a l I n f o " / > < / a : K e y V a l u e O f D i a g r a m O b j e c t K e y a n y T y p e z b w N T n L X > < a : K e y V a l u e O f D i a g r a m O b j e c t K e y a n y T y p e z b w N T n L X > < a : K e y > < K e y > M e a s u r e s \ A v e r a g e   o f   a n n u a l _ i n c o m e \ T a g I n f o \ V a l u e < / K e y > < / a : K e y > < a : V a l u e   i : t y p e = " M e a s u r e G r i d V i e w S t a t e I D i a g r a m T a g A d d i t i o n a l I n f o " / > < / a : K e y V a l u e O f D i a g r a m O b j e c t K e y a n y T y p e z b w N T n L X > < a : K e y V a l u e O f D i a g r a m O b j e c t K e y a n y T y p e z b w N T n L X > < a : K e y > < K e y > M e a s u r e s \ S u m   o f   l o a n _ a m o u n t < / K e y > < / a : K e y > < a : V a l u e   i : t y p e = " M e a s u r e G r i d N o d e V i e w S t a t e " > < C o l u m n > 2 3 < / C o l u m n > < L a y e d O u t > t r u e < / L a y e d O u t > < W a s U I I n v i s i b l e > t r u e < / W a s U I I n v i s i b l e > < / a : V a l u e > < / a : K e y V a l u e O f D i a g r a m O b j e c t K e y a n y T y p e z b w N T n L X > < a : K e y V a l u e O f D i a g r a m O b j e c t K e y a n y T y p e z b w N T n L X > < a : K e y > < K e y > M e a s u r e s \ S u m   o f   l o a n _ a m o u n t \ T a g I n f o \ F o r m u l a < / K e y > < / a : K e y > < a : V a l u e   i : t y p e = " M e a s u r e G r i d V i e w S t a t e I D i a g r a m T a g A d d i t i o n a l I n f o " / > < / a : K e y V a l u e O f D i a g r a m O b j e c t K e y a n y T y p e z b w N T n L X > < a : K e y V a l u e O f D i a g r a m O b j e c t K e y a n y T y p e z b w N T n L X > < a : K e y > < K e y > M e a s u r e s \ S u m   o f   l o a n _ a m o u n t \ T a g I n f o \ V a l u e < / K e y > < / a : K e y > < a : V a l u e   i : t y p e = " M e a s u r e G r i d V i e w S t a t e I D i a g r a m T a g A d d i t i o n a l I n f o " / > < / a : K e y V a l u e O f D i a g r a m O b j e c t K e y a n y T y p e z b w N T n L X > < a : K e y V a l u e O f D i a g r a m O b j e c t K e y a n y T y p e z b w N T n L X > < a : K e y > < K e y > M e a s u r e s \ A v e r a g e   o f   l o a n _ a m o u n t < / K e y > < / a : K e y > < a : V a l u e   i : t y p e = " M e a s u r e G r i d N o d e V i e w S t a t e " > < C o l u m n > 2 3 < / C o l u m n > < L a y e d O u t > t r u e < / L a y e d O u t > < W a s U I I n v i s i b l e > t r u e < / W a s U I I n v i s i b l e > < / a : V a l u e > < / a : K e y V a l u e O f D i a g r a m O b j e c t K e y a n y T y p e z b w N T n L X > < a : K e y V a l u e O f D i a g r a m O b j e c t K e y a n y T y p e z b w N T n L X > < a : K e y > < K e y > M e a s u r e s \ A v e r a g e   o f   l o a n _ a m o u n t \ T a g I n f o \ F o r m u l a < / K e y > < / a : K e y > < a : V a l u e   i : t y p e = " M e a s u r e G r i d V i e w S t a t e I D i a g r a m T a g A d d i t i o n a l I n f o " / > < / a : K e y V a l u e O f D i a g r a m O b j e c t K e y a n y T y p e z b w N T n L X > < a : K e y V a l u e O f D i a g r a m O b j e c t K e y a n y T y p e z b w N T n L X > < a : K e y > < K e y > M e a s u r e s \ A v e r a g e   o f   l o a n _ a m o u n t \ T a g I n f o \ V a l u e < / K e y > < / a : K e y > < a : V a l u e   i : t y p e = " M e a s u r e G r i d V i e w S t a t e I D i a g r a m T a g A d d i t i o n a l I n f o " / > < / a : K e y V a l u e O f D i a g r a m O b j e c t K e y a n y T y p e z b w N T n L X > < a : K e y V a l u e O f D i a g r a m O b j e c t K e y a n y T y p e z b w N T n L X > < a : K e y > < K e y > M e a s u r e s \ S u m   o f   i n t _ r a t e < / K e y > < / a : K e y > < a : V a l u e   i : t y p e = " M e a s u r e G r i d N o d e V i e w S t a t e " > < C o l u m n > 2 2 < / C o l u m n > < L a y e d O u t > t r u e < / L a y e d O u t > < W a s U I I n v i s i b l e > t r u e < / W a s U I I n v i s i b l e > < / a : V a l u e > < / a : K e y V a l u e O f D i a g r a m O b j e c t K e y a n y T y p e z b w N T n L X > < a : K e y V a l u e O f D i a g r a m O b j e c t K e y a n y T y p e z b w N T n L X > < a : K e y > < K e y > M e a s u r e s \ S u m   o f   i n t _ r a t e \ T a g I n f o \ F o r m u l a < / K e y > < / a : K e y > < a : V a l u e   i : t y p e = " M e a s u r e G r i d V i e w S t a t e I D i a g r a m T a g A d d i t i o n a l I n f o " / > < / a : K e y V a l u e O f D i a g r a m O b j e c t K e y a n y T y p e z b w N T n L X > < a : K e y V a l u e O f D i a g r a m O b j e c t K e y a n y T y p e z b w N T n L X > < a : K e y > < K e y > M e a s u r e s \ S u m   o f   i n t _ r a t e \ T a g I n f o \ V a l u e < / K e y > < / a : K e y > < a : V a l u e   i : t y p e = " M e a s u r e G r i d V i e w S t a t e I D i a g r a m T a g A d d i t i o n a l I n f o " / > < / a : K e y V a l u e O f D i a g r a m O b j e c t K e y a n y T y p e z b w N T n L X > < a : K e y V a l u e O f D i a g r a m O b j e c t K e y a n y T y p e z b w N T n L X > < a : K e y > < K e y > M e a s u r e s \ A v e r a g e   o f   i n t _ r a t e < / K e y > < / a : K e y > < a : V a l u e   i : t y p e = " M e a s u r e G r i d N o d e V i e w S t a t e " > < C o l u m n > 2 2 < / C o l u m n > < L a y e d O u t > t r u e < / L a y e d O u t > < W a s U I I n v i s i b l e > t r u e < / W a s U I I n v i s i b l e > < / a : V a l u e > < / a : K e y V a l u e O f D i a g r a m O b j e c t K e y a n y T y p e z b w N T n L X > < a : K e y V a l u e O f D i a g r a m O b j e c t K e y a n y T y p e z b w N T n L X > < a : K e y > < K e y > M e a s u r e s \ A v e r a g e   o f   i n t _ r a t e \ T a g I n f o \ F o r m u l a < / K e y > < / a : K e y > < a : V a l u e   i : t y p e = " M e a s u r e G r i d V i e w S t a t e I D i a g r a m T a g A d d i t i o n a l I n f o " / > < / a : K e y V a l u e O f D i a g r a m O b j e c t K e y a n y T y p e z b w N T n L X > < a : K e y V a l u e O f D i a g r a m O b j e c t K e y a n y T y p e z b w N T n L X > < a : K e y > < K e y > M e a s u r e s \ A v e r a g e   o f   i n t _ r a t e \ T a g I n f o \ V a l u e 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 C o l u m n s \ a d d r e s s _ s t a t e < / K e y > < / a : K e y > < a : V a l u e   i : t y p e = " M e a s u r e G r i d N o d e V i e w S t a t e " > < C o l u m n > 1 < / C o l u m n > < L a y e d O u t > t r u e < / L a y e d O u t > < / a : V a l u e > < / a : K e y V a l u e O f D i a g r a m O b j e c t K e y a n y T y p e z b w N T n L X > < a : K e y V a l u e O f D i a g r a m O b j e c t K e y a n y T y p e z b w N T n L X > < a : K e y > < K e y > C o l u m n s \ a p p l i c a t i o n _ t y p e < / K e y > < / a : K e y > < a : V a l u e   i : t y p e = " M e a s u r e G r i d N o d e V i e w S t a t e " > < C o l u m n > 3 < / C o l u m n > < L a y e d O u t > t r u e < / L a y e d O u t > < / a : V a l u e > < / a : K e y V a l u e O f D i a g r a m O b j e c t K e y a n y T y p e z b w N T n L X > < a : K e y V a l u e O f D i a g r a m O b j e c t K e y a n y T y p e z b w N T n L X > < a : K e y > < K e y > C o l u m n s \ e m p _ l e n g t h < / K e y > < / a : K e y > < a : V a l u e   i : t y p e = " M e a s u r e G r i d N o d e V i e w S t a t e " > < C o l u m n > 4 < / C o l u m n > < L a y e d O u t > t r u e < / L a y e d O u t > < / a : V a l u e > < / a : K e y V a l u e O f D i a g r a m O b j e c t K e y a n y T y p e z b w N T n L X > < a : K e y V a l u e O f D i a g r a m O b j e c t K e y a n y T y p e z b w N T n L X > < a : K e y > < K e y > C o l u m n s \ e m p _ t i t l e < / K e y > < / a : K e y > < a : V a l u e   i : t y p e = " M e a s u r e G r i d N o d e V i e w S t a t e " > < C o l u m n > 5 < / C o l u m n > < L a y e d O u t > t r u e < / L a y e d O u t > < / a : V a l u e > < / a : K e y V a l u e O f D i a g r a m O b j e c t K e y a n y T y p e z b w N T n L X > < a : K e y V a l u e O f D i a g r a m O b j e c t K e y a n y T y p e z b w N T n L X > < a : K e y > < K e y > C o l u m n s \ g r a d e < / K e y > < / a : K e y > < a : V a l u e   i : t y p e = " M e a s u r e G r i d N o d e V i e w S t a t e " > < C o l u m n > 6 < / C o l u m n > < L a y e d O u t > t r u e < / L a y e d O u t > < / a : V a l u e > < / a : K e y V a l u e O f D i a g r a m O b j e c t K e y a n y T y p e z b w N T n L X > < a : K e y V a l u e O f D i a g r a m O b j e c t K e y a n y T y p e z b w N T n L X > < a : K e y > < K e y > C o l u m n s \ s u b _ g r a d e < / K e y > < / a : K e y > < a : V a l u e   i : t y p e = " M e a s u r e G r i d N o d e V i e w S t a t e " > < C o l u m n > 7 < / C o l u m n > < L a y e d O u t > t r u e < / L a y e d O u t > < / a : V a l u e > < / a : K e y V a l u e O f D i a g r a m O b j e c t K e y a n y T y p e z b w N T n L X > < a : K e y V a l u e O f D i a g r a m O b j e c t K e y a n y T y p e z b w N T n L X > < a : K e y > < K e y > C o l u m n s \ h o m e _ o w n e r s h i p < / K e y > < / a : K e y > < a : V a l u e   i : t y p e = " M e a s u r e G r i d N o d e V i e w S t a t e " > < C o l u m n > 8 < / C o l u m n > < L a y e d O u t > t r u e < / L a y e d O u t > < / a : V a l u e > < / a : K e y V a l u e O f D i a g r a m O b j e c t K e y a n y T y p e z b w N T n L X > < a : K e y V a l u e O f D i a g r a m O b j e c t K e y a n y T y p e z b w N T n L X > < a : K e y > < K e y > C o l u m n s \ i s s u e _ d a t e < / K e y > < / a : K e y > < a : V a l u e   i : t y p e = " M e a s u r e G r i d N o d e V i e w S t a t e " > < C o l u m n > 9 < / C o l u m n > < L a y e d O u t > t r u e < / L a y e d O u t > < / a : V a l u e > < / a : K e y V a l u e O f D i a g r a m O b j e c t K e y a n y T y p e z b w N T n L X > < a : K e y V a l u e O f D i a g r a m O b j e c t K e y a n y T y p e z b w N T n L X > < a : K e y > < K e y > C o l u m n s \ l a s t _ c r e d i t _ p u l l _ d a t e < / K e y > < / a : K e y > < a : V a l u e   i : t y p e = " M e a s u r e G r i d N o d e V i e w S t a t e " > < C o l u m n > 1 0 < / C o l u m n > < L a y e d O u t > t r u e < / L a y e d O u t > < / a : V a l u e > < / a : K e y V a l u e O f D i a g r a m O b j e c t K e y a n y T y p e z b w N T n L X > < a : K e y V a l u e O f D i a g r a m O b j e c t K e y a n y T y p e z b w N T n L X > < a : K e y > < K e y > C o l u m n s \ l a s t _ p a y m e n t _ d a t e < / K e y > < / a : K e y > < a : V a l u e   i : t y p e = " M e a s u r e G r i d N o d e V i e w S t a t e " > < C o l u m n > 1 1 < / C o l u m n > < L a y e d O u t > t r u e < / L a y e d O u t > < / a : V a l u e > < / a : K e y V a l u e O f D i a g r a m O b j e c t K e y a n y T y p e z b w N T n L X > < a : K e y V a l u e O f D i a g r a m O b j e c t K e y a n y T y p e z b w N T n L X > < a : K e y > < K e y > C o l u m n s \ l o a n _ s t a t u s < / K e y > < / a : K e y > < a : V a l u e   i : t y p e = " M e a s u r e G r i d N o d e V i e w S t a t e " > < C o l u m n > 1 2 < / C o l u m n > < L a y e d O u t > t r u e < / L a y e d O u t > < / a : V a l u e > < / a : K e y V a l u e O f D i a g r a m O b j e c t K e y a n y T y p e z b w N T n L X > < a : K e y V a l u e O f D i a g r a m O b j e c t K e y a n y T y p e z b w N T n L X > < a : K e y > < K e y > C o l u m n s \ L o a n   Q u a l i t y < / K e y > < / a : K e y > < a : V a l u e   i : t y p e = " M e a s u r e G r i d N o d e V i e w S t a t e " > < C o l u m n > 1 3 < / C o l u m n > < L a y e d O u t > t r u e < / L a y e d O u t > < / a : V a l u e > < / a : K e y V a l u e O f D i a g r a m O b j e c t K e y a n y T y p e z b w N T n L X > < a : K e y V a l u e O f D i a g r a m O b j e c t K e y a n y T y p e z b w N T n L X > < a : K e y > < K e y > C o l u m n s \ n e x t _ p a y m e n t _ d a t e < / K e y > < / a : K e y > < a : V a l u e   i : t y p e = " M e a s u r e G r i d N o d e V i e w S t a t e " > < C o l u m n > 1 4 < / C o l u m n > < L a y e d O u t > t r u e < / L a y e d O u t > < / a : V a l u e > < / a : K e y V a l u e O f D i a g r a m O b j e c t K e y a n y T y p e z b w N T n L X > < a : K e y V a l u e O f D i a g r a m O b j e c t K e y a n y T y p e z b w N T n L X > < a : K e y > < K e y > C o l u m n s \ m e m b e r _ i d < / K e y > < / a : K e y > < a : V a l u e   i : t y p e = " M e a s u r e G r i d N o d e V i e w S t a t e " > < C o l u m n > 1 5 < / C o l u m n > < L a y e d O u t > t r u e < / L a y e d O u t > < / a : V a l u e > < / a : K e y V a l u e O f D i a g r a m O b j e c t K e y a n y T y p e z b w N T n L X > < a : K e y V a l u e O f D i a g r a m O b j e c t K e y a n y T y p e z b w N T n L X > < a : K e y > < K e y > C o l u m n s \ p u r p o s e < / K e y > < / a : K e y > < a : V a l u e   i : t y p e = " M e a s u r e G r i d N o d e V i e w S t a t e " > < C o l u m n > 1 6 < / C o l u m n > < L a y e d O u t > t r u e < / L a y e d O u t > < / a : V a l u e > < / a : K e y V a l u e O f D i a g r a m O b j e c t K e y a n y T y p e z b w N T n L X > < a : K e y V a l u e O f D i a g r a m O b j e c t K e y a n y T y p e z b w N T n L X > < a : K e y > < K e y > C o l u m n s \ v e r i f i c a t i o n _ s t a t u s < / K e y > < / a : K e y > < a : V a l u e   i : t y p e = " M e a s u r e G r i d N o d e V i e w S t a t e " > < C o l u m n > 1 7 < / C o l u m n > < L a y e d O u t > t r u e < / L a y e d O u t > < / a : V a l u e > < / a : K e y V a l u e O f D i a g r a m O b j e c t K e y a n y T y p e z b w N T n L X > < a : K e y V a l u e O f D i a g r a m O b j e c t K e y a n y T y p e z b w N T n L X > < a : K e y > < K e y > C o l u m n s \ t e r m _ m o n t h s < / K e y > < / a : K e y > < a : V a l u e   i : t y p e = " M e a s u r e G r i d N o d e V i e w S t a t e " > < C o l u m n > 1 8 < / C o l u m n > < L a y e d O u t > t r u e < / L a y e d O u t > < / a : V a l u e > < / a : K e y V a l u e O f D i a g r a m O b j e c t K e y a n y T y p e z b w N T n L X > < a : K e y V a l u e O f D i a g r a m O b j e c t K e y a n y T y p e z b w N T n L X > < a : K e y > < K e y > C o l u m n s \ a n n u a l _ i n c o m e < / K e y > < / a : K e y > < a : V a l u e   i : t y p e = " M e a s u r e G r i d N o d e V i e w S t a t e " > < C o l u m n > 1 9 < / C o l u m n > < L a y e d O u t > t r u e < / L a y e d O u t > < / a : V a l u e > < / a : K e y V a l u e O f D i a g r a m O b j e c t K e y a n y T y p e z b w N T n L X > < a : K e y V a l u e O f D i a g r a m O b j e c t K e y a n y T y p e z b w N T n L X > < a : K e y > < K e y > C o l u m n s \ d t i < / K e y > < / a : K e y > < a : V a l u e   i : t y p e = " M e a s u r e G r i d N o d e V i e w S t a t e " > < C o l u m n > 2 0 < / C o l u m n > < L a y e d O u t > t r u e < / L a y e d O u t > < / a : V a l u e > < / a : K e y V a l u e O f D i a g r a m O b j e c t K e y a n y T y p e z b w N T n L X > < a : K e y V a l u e O f D i a g r a m O b j e c t K e y a n y T y p e z b w N T n L X > < a : K e y > < K e y > C o l u m n s \ i n s t a l l m e n t < / K e y > < / a : K e y > < a : V a l u e   i : t y p e = " M e a s u r e G r i d N o d e V i e w S t a t e " > < C o l u m n > 2 1 < / C o l u m n > < L a y e d O u t > t r u e < / L a y e d O u t > < / a : V a l u e > < / a : K e y V a l u e O f D i a g r a m O b j e c t K e y a n y T y p e z b w N T n L X > < a : K e y V a l u e O f D i a g r a m O b j e c t K e y a n y T y p e z b w N T n L X > < a : K e y > < K e y > C o l u m n s \ i n t _ r a t e < / K e y > < / a : K e y > < a : V a l u e   i : t y p e = " M e a s u r e G r i d N o d e V i e w S t a t e " > < C o l u m n > 2 2 < / C o l u m n > < L a y e d O u t > t r u e < / L a y e d O u t > < / a : V a l u e > < / a : K e y V a l u e O f D i a g r a m O b j e c t K e y a n y T y p e z b w N T n L X > < a : K e y V a l u e O f D i a g r a m O b j e c t K e y a n y T y p e z b w N T n L X > < a : K e y > < K e y > C o l u m n s \ l o a n _ a m o u n t < / K e y > < / a : K e y > < a : V a l u e   i : t y p e = " M e a s u r e G r i d N o d e V i e w S t a t e " > < C o l u m n > 2 3 < / C o l u m n > < L a y e d O u t > t r u e < / L a y e d O u t > < / a : V a l u e > < / a : K e y V a l u e O f D i a g r a m O b j e c t K e y a n y T y p e z b w N T n L X > < a : K e y V a l u e O f D i a g r a m O b j e c t K e y a n y T y p e z b w N T n L X > < a : K e y > < K e y > C o l u m n s \ t o t a l _ a c c < / K e y > < / a : K e y > < a : V a l u e   i : t y p e = " M e a s u r e G r i d N o d e V i e w S t a t e " > < C o l u m n > 2 4 < / C o l u m n > < L a y e d O u t > t r u e < / L a y e d O u t > < / a : V a l u e > < / a : K e y V a l u e O f D i a g r a m O b j e c t K e y a n y T y p e z b w N T n L X > < a : K e y V a l u e O f D i a g r a m O b j e c t K e y a n y T y p e z b w N T n L X > < a : K e y > < K e y > C o l u m n s \ t o t a l _ p a y m e n t < / K e y > < / a : K e y > < a : V a l u e   i : t y p e = " M e a s u r e G r i d N o d e V i e w S t a t e " > < C o l u m n > 2 5 < / C o l u m n > < L a y e d O u t > t r u e < / L a y e d O u t > < / a : V a l u e > < / a : K e y V a l u e O f D i a g r a m O b j e c t K e y a n y T y p e z b w N T n L X > < a : K e y V a l u e O f D i a g r a m O b j e c t K e y a n y T y p e z b w N T n L X > < a : K e y > < K e y > C o l u m n s \ D T I   F l a g < / K e y > < / a : K e y > < a : V a l u e   i : t y p e = " M e a s u r e G r i d N o d e V i e w S t a t e " > < C o l u m n > 2 8 < / C o l u m n > < L a y e d O u t > t r u e < / L a y e d O u t > < / a : V a l u e > < / a : K e y V a l u e O f D i a g r a m O b j e c t K e y a n y T y p e z b w N T n L X > < a : K e y V a l u e O f D i a g r a m O b j e c t K e y a n y T y p e z b w N T n L X > < a : K e y > < K e y > C o l u m n s \ e x p e c t e d _ t o t a l _ p a y m e n t < / K e y > < / a : K e y > < a : V a l u e   i : t y p e = " M e a s u r e G r i d N o d e V i e w S t a t e " > < C o l u m n > 2 6 < / C o l u m n > < L a y e d O u t > t r u e < / L a y e d O u t > < / a : V a l u e > < / a : K e y V a l u e O f D i a g r a m O b j e c t K e y a n y T y p e z b w N T n L X > < a : K e y V a l u e O f D i a g r a m O b j e c t K e y a n y T y p e z b w N T n L X > < a : K e y > < K e y > C o l u m n s \ i s s u e _ d a t e   ( M o n t h   I n d e x ) < / K e y > < / a : K e y > < a : V a l u e   i : t y p e = " M e a s u r e G r i d N o d e V i e w S t a t e " > < C o l u m n > 2 7 < / C o l u m n > < L a y e d O u t > t r u e < / L a y e d O u t > < / a : V a l u e > < / a : K e y V a l u e O f D i a g r a m O b j e c t K e y a n y T y p e z b w N T n L X > < a : K e y V a l u e O f D i a g r a m O b j e c t K e y a n y T y p e z b w N T n L X > < a : K e y > < K e y > C o l u m n s \ i s s u e _ d a t e   ( M o n t h ) < / K e y > < / a : K e y > < a : V a l u e   i : t y p e = " M e a s u r e G r i d N o d e V i e w S t a t e " > < C o l u m n > 2 9 < / C o l u m n > < L a y e d O u t > t r u e < / L a y e d O u t > < / a : V a l u e > < / a : K e y V a l u e O f D i a g r a m O b j e c t K e y a n y T y p e z b w N T n L X > < a : K e y V a l u e O f D i a g r a m O b j e c t K e y a n y T y p e z b w N T n L X > < a : K e y > < K e y > C o l u m n s \ R i s k F l a g < / K e y > < / a : K e y > < a : V a l u e   i : t y p e = " M e a s u r e G r i d N o d e V i e w S t a t e " > < C o l u m n > 3 2 < / C o l u m n > < L a y e d O u t > t r u e < / L a y e d O u t > < / a : V a l u e > < / a : K e y V a l u e O f D i a g r a m O b j e c t K e y a n y T y p e z b w N T n L X > < a : K e y V a l u e O f D i a g r a m O b j e c t K e y a n y T y p e z b w N T n L X > < a : K e y > < K e y > C o l u m n s \ u n e m p l o y m e n t _ r a t e < / K e y > < / a : K e y > < a : V a l u e   i : t y p e = " M e a s u r e G r i d N o d e V i e w S t a t e " > < C o l u m n > 3 0 < / C o l u m n > < L a y e d O u t > t r u e < / L a y e d O u t > < / a : V a l u e > < / a : K e y V a l u e O f D i a g r a m O b j e c t K e y a n y T y p e z b w N T n L X > < a : K e y V a l u e O f D i a g r a m O b j e c t K e y a n y T y p e z b w N T n L X > < a : K e y > < K e y > C o l u m n s \ s t a t e _ u n e m p l o y m e n t _ f l a g < / K e y > < / a : K e y > < a : V a l u e   i : t y p e = " M e a s u r e G r i d N o d e V i e w S t a t e " > < C o l u m n > 3 1 < / C o l u m n > < L a y e d O u t > t r u e < / L a y e d O u t > < / a : V a l u e > < / a : K e y V a l u e O f D i a g r a m O b j e c t K e y a n y T y p e z b w N T n L X > < a : K e y V a l u e O f D i a g r a m O b j e c t K e y a n y T y p e z b w N T n L X > < a : K e y > < K e y > C o l u m n s \ D u p l i c a t e _ F l a g < / K e y > < / a : K e y > < a : V a l u e   i : t y p e = " M e a s u r e G r i d N o d e V i e w S t a t e " > < C o l u m n > 3 3 < / C o l u m n > < L a y e d O u t > t r u e < / L a y e d O u t > < / a : V a l u e > < / a : K e y V a l u e O f D i a g r a m O b j e c t K e y a n y T y p e z b w N T n L X > < a : K e y V a l u e O f D i a g r a m O b j e c t K e y a n y T y p e z b w N T n L X > < a : K e y > < K e y > C o l u m n s \ f r a u d _ d e t e c t i o n _ f l a g < / K e y > < / a : K e y > < a : V a l u e   i : t y p e = " M e a s u r e G r i d N o d e V i e w S t a t e " > < C o l u m n > 3 5 < / C o l u m n > < L a y e d O u t > t r u e < / L a y e d O u t > < / a : V a l u e > < / a : K e y V a l u e O f D i a g r a m O b j e c t K e y a n y T y p e z b w N T n L X > < a : K e y V a l u e O f D i a g r a m O b j e c t K e y a n y T y p e z b w N T n L X > < a : K e y > < K e y > C o l u m n s \ o w n e r s h i p _ f l a g < / K e y > < / a : K e y > < a : V a l u e   i : t y p e = " M e a s u r e G r i d N o d e V i e w S t a t e " > < C o l u m n > 3 4 < / C o l u m n > < L a y e d O u t > t r u e < / L a y e d O u t > < / a : V a l u e > < / a : K e y V a l u e O f D i a g r a m O b j e c t K e y a n y T y p e z b w N T n L X > < a : K e y V a l u e O f D i a g r a m O b j e c t K e y a n y T y p e z b w N T n L X > < a : K e y > < K e y > C o l u m n s \ u n d e r p a i d _ l o a n s _ f l a g < / K e y > < / a : K e y > < a : V a l u e   i : t y p e = " M e a s u r e G r i d N o d e V i e w S t a t e " > < C o l u m n > 3 6 < / C o l u m n > < L a y e d O u t > t r u e < / L a y e d O u t > < / a : V a l u e > < / a : K e y V a l u e O f D i a g r a m O b j e c t K e y a n y T y p e z b w N T n L X > < a : K e y V a l u e O f D i a g r a m O b j e c t K e y a n y T y p e z b w N T n L X > < a : K e y > < K e y > C o l u m n s \ b o r r o w e r _ e x p e r i e n c e _ f l a g < / K e y > < / a : K e y > < a : V a l u e   i : t y p e = " M e a s u r e G r i d N o d e V i e w S t a t e " > < C o l u m n > 3 7 < / C o l u m n > < L a y e d O u t > t r u e < / L a y e d O u t > < / a : V a l u e > < / a : K e y V a l u e O f D i a g r a m O b j e c t K e y a n y T y p e z b w N T n L X > < a : K e y V a l u e O f D i a g r a m O b j e c t K e y a n y T y p e z b w N T n L X > < a : K e y > < K e y > C o l u m n s \ r e p a y m e n t _ e f f i c i e n c y _ r a t i o < / K e y > < / a : K e y > < a : V a l u e   i : t y p e = " M e a s u r e G r i d N o d e V i e w S t a t e " > < C o l u m n > 3 8 < / C o l u m n > < L a y e d O u t > t r u e < / L a y e d O u t > < / a : V a l u e > < / a : K e y V a l u e O f D i a g r a m O b j e c t K e y a n y T y p e z b w N T n L X > < a : K e y V a l u e O f D i a g r a m O b j e c t K e y a n y T y p e z b w N T n L X > < a : K e y > < K e y > C o l u m n s \ r e p a y m e n t _ e f f i c i e n c y _ f l a g < / K e y > < / a : K e y > < a : V a l u e   i : t y p e = " M e a s u r e G r i d N o d e V i e w S t a t e " > < C o l u m n > 3 9 < / C o l u m n > < L a y e d O u t > t r u e < / L a y e d O u t > < / a : V a l u e > < / a : K e y V a l u e O f D i a g r a m O b j e c t K e y a n y T y p e z b w N T n L X > < a : K e y V a l u e O f D i a g r a m O b j e c t K e y a n y T y p e z b w N T n L X > < a : K e y > < K e y > C o l u m n s \ S t a t e _ N a m e < / K e y > < / a : K e y > < a : V a l u e   i : t y p e = " M e a s u r e G r i d N o d e V i e w S t a t e " > < C o l u m n > 2 < / C o l u m n > < L a y e d O u t > t r u e < / L a y e d O u t > < / a : V a l u e > < / a : K e y V a l u e O f D i a g r a m O b j e c t K e y a n y T y p e z b w N T n L X > < a : K e y V a l u e O f D i a g r a m O b j e c t K e y a n y T y p e z b w N T n L X > < a : K e y > < K e y > L i n k s \ & l t ; C o l u m n s \ C o u n t   o f   e x p e c t e d _ t o t a l _ p a y m e n t & g t ; - & l t ; M e a s u r e s \ e x p e c t e d _ t o t a l _ p a y m e n t & g t ; < / K e y > < / a : K e y > < a : V a l u e   i : t y p e = " M e a s u r e G r i d V i e w S t a t e I D i a g r a m L i n k " / > < / a : K e y V a l u e O f D i a g r a m O b j e c t K e y a n y T y p e z b w N T n L X > < a : K e y V a l u e O f D i a g r a m O b j e c t K e y a n y T y p e z b w N T n L X > < a : K e y > < K e y > L i n k s \ & l t ; C o l u m n s \ C o u n t   o f   e x p e c t e d _ t o t a l _ p a y m e n t & g t ; - & l t ; M e a s u r e s \ e x p e c t e d _ t o t a l _ p a y m e n t & g t ; \ C O L U M N < / K e y > < / a : K e y > < a : V a l u e   i : t y p e = " M e a s u r e G r i d V i e w S t a t e I D i a g r a m L i n k E n d p o i n t " / > < / a : K e y V a l u e O f D i a g r a m O b j e c t K e y a n y T y p e z b w N T n L X > < a : K e y V a l u e O f D i a g r a m O b j e c t K e y a n y T y p e z b w N T n L X > < a : K e y > < K e y > L i n k s \ & l t ; C o l u m n s \ C o u n t   o f   e x p e c t e d _ t o t a l _ p a y m e n t & g t ; - & l t ; M e a s u r e s \ e x p e c t e d _ t o t a l _ p a y m e n t & g t ; \ M E A S U R E < / K e y > < / a : K e y > < a : V a l u e   i : t y p e = " M e a s u r e G r i d V i e w S t a t e I D i a g r a m L i n k E n d p o i n t " / > < / a : K e y V a l u e O f D i a g r a m O b j e c t K e y a n y T y p e z b w N T n L X > < a : K e y V a l u e O f D i a g r a m O b j e c t K e y a n y T y p e z b w N T n L X > < a : K e y > < K e y > L i n k s \ & l t ; C o l u m n s \ C o u n t   o f   t o t a l _ p a y m e n t & g t ; - & l t ; M e a s u r e s \ t o t a l _ p a y m e n t & g t ; < / K e y > < / a : K e y > < a : V a l u e   i : t y p e = " M e a s u r e G r i d V i e w S t a t e I D i a g r a m L i n k " / > < / a : K e y V a l u e O f D i a g r a m O b j e c t K e y a n y T y p e z b w N T n L X > < a : K e y V a l u e O f D i a g r a m O b j e c t K e y a n y T y p e z b w N T n L X > < a : K e y > < K e y > L i n k s \ & l t ; C o l u m n s \ C o u n t   o f   t o t a l _ p a y m e n t & g t ; - & l t ; M e a s u r e s \ t o t a l _ p a y m e n t & g t ; \ C O L U M N < / K e y > < / a : K e y > < a : V a l u e   i : t y p e = " M e a s u r e G r i d V i e w S t a t e I D i a g r a m L i n k E n d p o i n t " / > < / a : K e y V a l u e O f D i a g r a m O b j e c t K e y a n y T y p e z b w N T n L X > < a : K e y V a l u e O f D i a g r a m O b j e c t K e y a n y T y p e z b w N T n L X > < a : K e y > < K e y > L i n k s \ & l t ; C o l u m n s \ C o u n t   o f   t o t a l _ p a y m e n t & g t ; - & l t ; M e a s u r e s \ t o t a l _ p a y m e n t & g t ; \ M E A S U R E < / K e y > < / a : K e y > < a : V a l u e   i : t y p e = " M e a s u r e G r i d V i e w S t a t e I D i a g r a m L i n k E n d p o i n t " / > < / a : K e y V a l u e O f D i a g r a m O b j e c t K e y a n y T y p e z b w N T n L X > < a : K e y V a l u e O f D i a g r a m O b j e c t K e y a n y T y p e z b w N T n L X > < a : K e y > < K e y > L i n k s \ & l t ; C o l u m n s \ S u m   o f   t o t a l _ p a y m e n t & g t ; - & l t ; M e a s u r e s \ t o t a l _ p a y m e n t & g t ; < / K e y > < / a : K e y > < a : V a l u e   i : t y p e = " M e a s u r e G r i d V i e w S t a t e I D i a g r a m L i n k " / > < / a : K e y V a l u e O f D i a g r a m O b j e c t K e y a n y T y p e z b w N T n L X > < a : K e y V a l u e O f D i a g r a m O b j e c t K e y a n y T y p e z b w N T n L X > < a : K e y > < K e y > L i n k s \ & l t ; C o l u m n s \ S u m   o f   t o t a l _ p a y m e n t & g t ; - & l t ; M e a s u r e s \ t o t a l _ p a y m e n t & g t ; \ C O L U M N < / K e y > < / a : K e y > < a : V a l u e   i : t y p e = " M e a s u r e G r i d V i e w S t a t e I D i a g r a m L i n k E n d p o i n t " / > < / a : K e y V a l u e O f D i a g r a m O b j e c t K e y a n y T y p e z b w N T n L X > < a : K e y V a l u e O f D i a g r a m O b j e c t K e y a n y T y p e z b w N T n L X > < a : K e y > < K e y > L i n k s \ & l t ; C o l u m n s \ S u m   o f   t o t a l _ p a y m e n t & g t ; - & l t ; M e a s u r e s \ t o t a l _ p a y m e n t & g t ; \ M E A S U R E < / K e y > < / a : K e y > < a : V a l u e   i : t y p e = " M e a s u r e G r i d V i e w S t a t e I D i a g r a m L i n k E n d p o i n t " / > < / a : K e y V a l u e O f D i a g r a m O b j e c t K e y a n y T y p e z b w N T n L X > < a : K e y V a l u e O f D i a g r a m O b j e c t K e y a n y T y p e z b w N T n L X > < a : K e y > < K e y > L i n k s \ & l t ; C o l u m n s \ S u m   o f   e x p e c t e d _ t o t a l _ p a y m e n t & g t ; - & l t ; M e a s u r e s \ e x p e c t e d _ t o t a l _ p a y m e n t & g t ; < / K e y > < / a : K e y > < a : V a l u e   i : t y p e = " M e a s u r e G r i d V i e w S t a t e I D i a g r a m L i n k " / > < / a : K e y V a l u e O f D i a g r a m O b j e c t K e y a n y T y p e z b w N T n L X > < a : K e y V a l u e O f D i a g r a m O b j e c t K e y a n y T y p e z b w N T n L X > < a : K e y > < K e y > L i n k s \ & l t ; C o l u m n s \ S u m   o f   e x p e c t e d _ t o t a l _ p a y m e n t & g t ; - & l t ; M e a s u r e s \ e x p e c t e d _ t o t a l _ p a y m e n t & g t ; \ C O L U M N < / K e y > < / a : K e y > < a : V a l u e   i : t y p e = " M e a s u r e G r i d V i e w S t a t e I D i a g r a m L i n k E n d p o i n t " / > < / a : K e y V a l u e O f D i a g r a m O b j e c t K e y a n y T y p e z b w N T n L X > < a : K e y V a l u e O f D i a g r a m O b j e c t K e y a n y T y p e z b w N T n L X > < a : K e y > < K e y > L i n k s \ & l t ; C o l u m n s \ S u m   o f   e x p e c t e d _ t o t a l _ p a y m e n t & g t ; - & l t ; M e a s u r e s \ e x p e c t e d _ t o t a l _ p a y m e n t & g t ; \ M E A S U R E < / K e y > < / a : K e y > < a : V a l u e   i : t y p e = " M e a s u r e G r i d V i e w S t a t e I D i a g r a m L i n k E n d p o i n t " / > < / a : K e y V a l u e O f D i a g r a m O b j e c t K e y a n y T y p e z b w N T n L X > < a : K e y V a l u e O f D i a g r a m O b j e c t K e y a n y T y p e z b w N T n L X > < a : K e y > < K e y > L i n k s \ & l t ; C o l u m n s \ S u m   o f   u n e m p l o y m e n t _ r a t e & g t ; - & l t ; M e a s u r e s \ u n e m p l o y m e n t _ r a t e & g t ; < / K e y > < / a : K e y > < a : V a l u e   i : t y p e = " M e a s u r e G r i d V i e w S t a t e I D i a g r a m L i n k " / > < / a : K e y V a l u e O f D i a g r a m O b j e c t K e y a n y T y p e z b w N T n L X > < a : K e y V a l u e O f D i a g r a m O b j e c t K e y a n y T y p e z b w N T n L X > < a : K e y > < K e y > L i n k s \ & l t ; C o l u m n s \ S u m   o f   u n e m p l o y m e n t _ r a t e & g t ; - & l t ; M e a s u r e s \ u n e m p l o y m e n t _ r a t e & g t ; \ C O L U M N < / K e y > < / a : K e y > < a : V a l u e   i : t y p e = " M e a s u r e G r i d V i e w S t a t e I D i a g r a m L i n k E n d p o i n t " / > < / a : K e y V a l u e O f D i a g r a m O b j e c t K e y a n y T y p e z b w N T n L X > < a : K e y V a l u e O f D i a g r a m O b j e c t K e y a n y T y p e z b w N T n L X > < a : K e y > < K e y > L i n k s \ & l t ; C o l u m n s \ S u m   o f   u n e m p l o y m e n t _ r a t e & g t ; - & l t ; M e a s u r e s \ u n e m p l o y m e n t _ r a t e & g t ; \ M E A S U R E < / K e y > < / a : K e y > < a : V a l u e   i : t y p e = " M e a s u r e G r i d V i e w S t a t e I D i a g r a m L i n k E n d p o i n t " / > < / a : K e y V a l u e O f D i a g r a m O b j e c t K e y a n y T y p e z b w N T n L X > < a : K e y V a l u e O f D i a g r a m O b j e c t K e y a n y T y p e z b w N T n L X > < a : K e y > < K e y > L i n k s \ & l t ; C o l u m n s \ C o u n t   o f   R i s k F l a g & g t ; - & l t ; M e a s u r e s \ R i s k F l a g & g t ; < / K e y > < / a : K e y > < a : V a l u e   i : t y p e = " M e a s u r e G r i d V i e w S t a t e I D i a g r a m L i n k " / > < / a : K e y V a l u e O f D i a g r a m O b j e c t K e y a n y T y p e z b w N T n L X > < a : K e y V a l u e O f D i a g r a m O b j e c t K e y a n y T y p e z b w N T n L X > < a : K e y > < K e y > L i n k s \ & l t ; C o l u m n s \ C o u n t   o f   R i s k F l a g & g t ; - & l t ; M e a s u r e s \ R i s k F l a g & g t ; \ C O L U M N < / K e y > < / a : K e y > < a : V a l u e   i : t y p e = " M e a s u r e G r i d V i e w S t a t e I D i a g r a m L i n k E n d p o i n t " / > < / a : K e y V a l u e O f D i a g r a m O b j e c t K e y a n y T y p e z b w N T n L X > < a : K e y V a l u e O f D i a g r a m O b j e c t K e y a n y T y p e z b w N T n L X > < a : K e y > < K e y > L i n k s \ & l t ; C o l u m n s \ C o u n t   o f   R i s k F l a g & g t ; - & l t ; M e a s u r e s \ R i s k F l a g & g t ; \ M E A S U R E < / K e y > < / a : K e y > < a : V a l u e   i : t y p e = " M e a s u r e G r i d V i e w S t a t e I D i a g r a m L i n k E n d p o i n t " / > < / a : K e y V a l u e O f D i a g r a m O b j e c t K e y a n y T y p e z b w N T n L X > < a : K e y V a l u e O f D i a g r a m O b j e c t K e y a n y T y p e z b w N T n L X > < a : K e y > < K e y > L i n k s \ & l t ; C o l u m n s \ C o u n t   o f   f r a u d _ d e t e c t i o n _ f l a g & g t ; - & l t ; M e a s u r e s \ f r a u d _ d e t e c t i o n _ f l a g & g t ; < / K e y > < / a : K e y > < a : V a l u e   i : t y p e = " M e a s u r e G r i d V i e w S t a t e I D i a g r a m L i n k " / > < / a : K e y V a l u e O f D i a g r a m O b j e c t K e y a n y T y p e z b w N T n L X > < a : K e y V a l u e O f D i a g r a m O b j e c t K e y a n y T y p e z b w N T n L X > < a : K e y > < K e y > L i n k s \ & l t ; C o l u m n s \ C o u n t   o f   f r a u d _ d e t e c t i o n _ f l a g & g t ; - & l t ; M e a s u r e s \ f r a u d _ d e t e c t i o n _ f l a g & g t ; \ C O L U M N < / K e y > < / a : K e y > < a : V a l u e   i : t y p e = " M e a s u r e G r i d V i e w S t a t e I D i a g r a m L i n k E n d p o i n t " / > < / a : K e y V a l u e O f D i a g r a m O b j e c t K e y a n y T y p e z b w N T n L X > < a : K e y V a l u e O f D i a g r a m O b j e c t K e y a n y T y p e z b w N T n L X > < a : K e y > < K e y > L i n k s \ & l t ; C o l u m n s \ C o u n t   o f   f r a u d _ d e t e c t i o n _ f l a g & g t ; - & l t ; M e a s u r e s \ f r a u d _ d e t e c t i o n _ f l a g & g t ; \ M E A S U R E < / K e y > < / a : K e y > < a : V a l u e   i : t y p e = " M e a s u r e G r i d V i e w S t a t e I D i a g r a m L i n k E n d p o i n t " / > < / a : K e y V a l u e O f D i a g r a m O b j e c t K e y a n y T y p e z b w N T n L X > < a : K e y V a l u e O f D i a g r a m O b j e c t K e y a n y T y p e z b w N T n L X > < a : K e y > < K e y > L i n k s \ & l t ; C o l u m n s \ C o u n t   o f   D T I   F l a g & g t ; - & l t ; M e a s u r e s \ D T I   F l a g & g t ; < / K e y > < / a : K e y > < a : V a l u e   i : t y p e = " M e a s u r e G r i d V i e w S t a t e I D i a g r a m L i n k " / > < / a : K e y V a l u e O f D i a g r a m O b j e c t K e y a n y T y p e z b w N T n L X > < a : K e y V a l u e O f D i a g r a m O b j e c t K e y a n y T y p e z b w N T n L X > < a : K e y > < K e y > L i n k s \ & l t ; C o l u m n s \ C o u n t   o f   D T I   F l a g & g t ; - & l t ; M e a s u r e s \ D T I   F l a g & g t ; \ C O L U M N < / K e y > < / a : K e y > < a : V a l u e   i : t y p e = " M e a s u r e G r i d V i e w S t a t e I D i a g r a m L i n k E n d p o i n t " / > < / a : K e y V a l u e O f D i a g r a m O b j e c t K e y a n y T y p e z b w N T n L X > < a : K e y V a l u e O f D i a g r a m O b j e c t K e y a n y T y p e z b w N T n L X > < a : K e y > < K e y > L i n k s \ & l t ; C o l u m n s \ C o u n t   o f   D T I   F l a g & g t ; - & l t ; M e a s u r e s \ D T I   F l a g & g t ; \ M E A S U R E < / K e y > < / a : K e y > < a : V a l u e   i : t y p e = " M e a s u r e G r i d V i e w S t a t e I D i a g r a m L i n k E n d p o i n t " / > < / a : K e y V a l u e O f D i a g r a m O b j e c t K e y a n y T y p e z b w N T n L X > < a : K e y V a l u e O f D i a g r a m O b j e c t K e y a n y T y p e z b w N T n L X > < a : K e y > < K e y > L i n k s \ & l t ; C o l u m n s \ C o u n t   o f   e m p _ l e n g t h & g t ; - & l t ; M e a s u r e s \ e m p _ l e n g t h & g t ; < / K e y > < / a : K e y > < a : V a l u e   i : t y p e = " M e a s u r e G r i d V i e w S t a t e I D i a g r a m L i n k " / > < / a : K e y V a l u e O f D i a g r a m O b j e c t K e y a n y T y p e z b w N T n L X > < a : K e y V a l u e O f D i a g r a m O b j e c t K e y a n y T y p e z b w N T n L X > < a : K e y > < K e y > L i n k s \ & l t ; C o l u m n s \ C o u n t   o f   e m p _ l e n g t h & g t ; - & l t ; M e a s u r e s \ e m p _ l e n g t h & g t ; \ C O L U M N < / K e y > < / a : K e y > < a : V a l u e   i : t y p e = " M e a s u r e G r i d V i e w S t a t e I D i a g r a m L i n k E n d p o i n t " / > < / a : K e y V a l u e O f D i a g r a m O b j e c t K e y a n y T y p e z b w N T n L X > < a : K e y V a l u e O f D i a g r a m O b j e c t K e y a n y T y p e z b w N T n L X > < a : K e y > < K e y > L i n k s \ & l t ; C o l u m n s \ C o u n t   o f   e m p _ l e n g t h & g t ; - & l t ; M e a s u r e s \ e m p _ l e n g t h & g t ; \ M E A S U R E < / K e y > < / a : K e y > < a : V a l u e   i : t y p e = " M e a s u r e G r i d V i e w S t a t e I D i a g r a m L i n k E n d p o i n t " / > < / a : K e y V a l u e O f D i a g r a m O b j e c t K e y a n y T y p e z b w N T n L X > < a : K e y V a l u e O f D i a g r a m O b j e c t K e y a n y T y p e z b w N T n L X > < a : K e y > < K e y > L i n k s \ & l t ; C o l u m n s \ C o u n t   o f   h o m e _ o w n e r s h i p & g t ; - & l t ; M e a s u r e s \ h o m e _ o w n e r s h i p & g t ; < / K e y > < / a : K e y > < a : V a l u e   i : t y p e = " M e a s u r e G r i d V i e w S t a t e I D i a g r a m L i n k " / > < / a : K e y V a l u e O f D i a g r a m O b j e c t K e y a n y T y p e z b w N T n L X > < a : K e y V a l u e O f D i a g r a m O b j e c t K e y a n y T y p e z b w N T n L X > < a : K e y > < K e y > L i n k s \ & l t ; C o l u m n s \ C o u n t   o f   h o m e _ o w n e r s h i p & g t ; - & l t ; M e a s u r e s \ h o m e _ o w n e r s h i p & g t ; \ C O L U M N < / K e y > < / a : K e y > < a : V a l u e   i : t y p e = " M e a s u r e G r i d V i e w S t a t e I D i a g r a m L i n k E n d p o i n t " / > < / a : K e y V a l u e O f D i a g r a m O b j e c t K e y a n y T y p e z b w N T n L X > < a : K e y V a l u e O f D i a g r a m O b j e c t K e y a n y T y p e z b w N T n L X > < a : K e y > < K e y > L i n k s \ & l t ; C o l u m n s \ C o u n t   o f   h o m e _ o w n e r s h i p & g t ; - & l t ; M e a s u r e s \ h o m e _ o w n e r s h i p & g t ; \ M E A S U R E < / K e y > < / a : K e y > < a : V a l u e   i : t y p e = " M e a s u r e G r i d V i e w S t a t e I D i a g r a m L i n k E n d p o i n t " / > < / a : K e y V a l u e O f D i a g r a m O b j e c t K e y a n y T y p e z b w N T n L X > < a : K e y V a l u e O f D i a g r a m O b j e c t K e y a n y T y p e z b w N T n L X > < a : K e y > < K e y > L i n k s \ & l t ; C o l u m n s \ C o u n t   o f   L o a n   Q u a l i t y & g t ; - & l t ; M e a s u r e s \ L o a n   Q u a l i t y & g t ; < / K e y > < / a : K e y > < a : V a l u e   i : t y p e = " M e a s u r e G r i d V i e w S t a t e I D i a g r a m L i n k " / > < / a : K e y V a l u e O f D i a g r a m O b j e c t K e y a n y T y p e z b w N T n L X > < a : K e y V a l u e O f D i a g r a m O b j e c t K e y a n y T y p e z b w N T n L X > < a : K e y > < K e y > L i n k s \ & l t ; C o l u m n s \ C o u n t   o f   L o a n   Q u a l i t y & g t ; - & l t ; M e a s u r e s \ L o a n   Q u a l i t y & g t ; \ C O L U M N < / K e y > < / a : K e y > < a : V a l u e   i : t y p e = " M e a s u r e G r i d V i e w S t a t e I D i a g r a m L i n k E n d p o i n t " / > < / a : K e y V a l u e O f D i a g r a m O b j e c t K e y a n y T y p e z b w N T n L X > < a : K e y V a l u e O f D i a g r a m O b j e c t K e y a n y T y p e z b w N T n L X > < a : K e y > < K e y > L i n k s \ & l t ; C o l u m n s \ C o u n t   o f   L o a n   Q u a l i t y & g t ; - & l t ; M e a s u r e s \ L o a n   Q u a l i t y & g t ; \ M E A S U R E < / K e y > < / a : K e y > < a : V a l u e   i : t y p e = " M e a s u r e G r i d V i e w S t a t e I D i a g r a m L i n k E n d p o i n t " / > < / a : K e y V a l u e O f D i a g r a m O b j e c t K e y a n y T y p e z b w N T n L X > < a : K e y V a l u e O f D i a g r a m O b j e c t K e y a n y T y p e z b w N T n L X > < a : K e y > < K e y > L i n k s \ & l t ; C o l u m n s \ C o u n t   o f   s t a t e _ u n e m p l o y m e n t _ f l a g & g t ; - & l t ; M e a s u r e s \ s t a t e _ u n e m p l o y m e n t _ f l a g & g t ; < / K e y > < / a : K e y > < a : V a l u e   i : t y p e = " M e a s u r e G r i d V i e w S t a t e I D i a g r a m L i n k " / > < / a : K e y V a l u e O f D i a g r a m O b j e c t K e y a n y T y p e z b w N T n L X > < a : K e y V a l u e O f D i a g r a m O b j e c t K e y a n y T y p e z b w N T n L X > < a : K e y > < K e y > L i n k s \ & l t ; C o l u m n s \ C o u n t   o f   s t a t e _ u n e m p l o y m e n t _ f l a g & g t ; - & l t ; M e a s u r e s \ s t a t e _ u n e m p l o y m e n t _ f l a g & g t ; \ C O L U M N < / K e y > < / a : K e y > < a : V a l u e   i : t y p e = " M e a s u r e G r i d V i e w S t a t e I D i a g r a m L i n k E n d p o i n t " / > < / a : K e y V a l u e O f D i a g r a m O b j e c t K e y a n y T y p e z b w N T n L X > < a : K e y V a l u e O f D i a g r a m O b j e c t K e y a n y T y p e z b w N T n L X > < a : K e y > < K e y > L i n k s \ & l t ; C o l u m n s \ C o u n t   o f   s t a t e _ u n e m p l o y m e n t _ f l a g & g t ; - & l t ; M e a s u r e s \ s t a t e _ u n e m p l o y m e n t _ f l a g & g t ; \ M E A S U R E < / K e y > < / a : K e y > < a : V a l u e   i : t y p e = " M e a s u r e G r i d V i e w S t a t e I D i a g r a m L i n k E n d p o i n t " / > < / a : K e y V a l u e O f D i a g r a m O b j e c t K e y a n y T y p e z b w N T n L X > < a : K e y V a l u e O f D i a g r a m O b j e c t K e y a n y T y p e z b w N T n L X > < a : K e y > < K e y > L i n k s \ & l t ; C o l u m n s \ S u m   o f   r e p a y m e n t _ e f f i c i e n c y _ r a t i o & g t ; - & l t ; M e a s u r e s \ r e p a y m e n t _ e f f i c i e n c y _ r a t i o & g t ; < / K e y > < / a : K e y > < a : V a l u e   i : t y p e = " M e a s u r e G r i d V i e w S t a t e I D i a g r a m L i n k " / > < / a : K e y V a l u e O f D i a g r a m O b j e c t K e y a n y T y p e z b w N T n L X > < a : K e y V a l u e O f D i a g r a m O b j e c t K e y a n y T y p e z b w N T n L X > < a : K e y > < K e y > L i n k s \ & l t ; C o l u m n s \ S u m   o f   r e p a y m e n t _ e f f i c i e n c y _ r a t i o & g t ; - & l t ; M e a s u r e s \ r e p a y m e n t _ e f f i c i e n c y _ r a t i o & g t ; \ C O L U M N < / K e y > < / a : K e y > < a : V a l u e   i : t y p e = " M e a s u r e G r i d V i e w S t a t e I D i a g r a m L i n k E n d p o i n t " / > < / a : K e y V a l u e O f D i a g r a m O b j e c t K e y a n y T y p e z b w N T n L X > < a : K e y V a l u e O f D i a g r a m O b j e c t K e y a n y T y p e z b w N T n L X > < a : K e y > < K e y > L i n k s \ & l t ; C o l u m n s \ S u m   o f   r e p a y m e n t _ e f f i c i e n c y _ r a t i o & g t ; - & l t ; M e a s u r e s \ r e p a y m e n t _ e f f i c i e n c y _ r a t i o & g t ; \ M E A S U R E < / K e y > < / a : K e y > < a : V a l u e   i : t y p e = " M e a s u r e G r i d V i e w S t a t e I D i a g r a m L i n k E n d p o i n t " / > < / a : K e y V a l u e O f D i a g r a m O b j e c t K e y a n y T y p e z b w N T n L X > < a : K e y V a l u e O f D i a g r a m O b j e c t K e y a n y T y p e z b w N T n L X > < a : K e y > < K e y > L i n k s \ & l t ; C o l u m n s \ A v e r a g e   o f   r e p a y m e n t _ e f f i c i e n c y _ r a t i o & g t ; - & l t ; M e a s u r e s \ r e p a y m e n t _ e f f i c i e n c y _ r a t i o & g t ; < / K e y > < / a : K e y > < a : V a l u e   i : t y p e = " M e a s u r e G r i d V i e w S t a t e I D i a g r a m L i n k " / > < / a : K e y V a l u e O f D i a g r a m O b j e c t K e y a n y T y p e z b w N T n L X > < a : K e y V a l u e O f D i a g r a m O b j e c t K e y a n y T y p e z b w N T n L X > < a : K e y > < K e y > L i n k s \ & l t ; C o l u m n s \ A v e r a g e   o f   r e p a y m e n t _ e f f i c i e n c y _ r a t i o & g t ; - & l t ; M e a s u r e s \ r e p a y m e n t _ e f f i c i e n c y _ r a t i o & g t ; \ C O L U M N < / K e y > < / a : K e y > < a : V a l u e   i : t y p e = " M e a s u r e G r i d V i e w S t a t e I D i a g r a m L i n k E n d p o i n t " / > < / a : K e y V a l u e O f D i a g r a m O b j e c t K e y a n y T y p e z b w N T n L X > < a : K e y V a l u e O f D i a g r a m O b j e c t K e y a n y T y p e z b w N T n L X > < a : K e y > < K e y > L i n k s \ & l t ; C o l u m n s \ A v e r a g e   o f   r e p a y m e n t _ e f f i c i e n c y _ r a t i o & g t ; - & l t ; M e a s u r e s \ r e p a y m e n t _ e f f i c i e n c y _ r a t i o & g t ; \ M E A S U R E < / K e y > < / a : K e y > < a : V a l u e   i : t y p e = " M e a s u r e G r i d V i e w S t a t e I D i a g r a m L i n k E n d p o i n t " / > < / a : K e y V a l u e O f D i a g r a m O b j e c t K e y a n y T y p e z b w N T n L X > < a : K e y V a l u e O f D i a g r a m O b j e c t K e y a n y T y p e z b w N T n L X > < a : K e y > < K e y > L i n k s \ & l t ; C o l u m n s \ C o u n t   o f   o w n e r s h i p _ f l a g & g t ; - & l t ; M e a s u r e s \ o w n e r s h i p _ f l a g & g t ; < / K e y > < / a : K e y > < a : V a l u e   i : t y p e = " M e a s u r e G r i d V i e w S t a t e I D i a g r a m L i n k " / > < / a : K e y V a l u e O f D i a g r a m O b j e c t K e y a n y T y p e z b w N T n L X > < a : K e y V a l u e O f D i a g r a m O b j e c t K e y a n y T y p e z b w N T n L X > < a : K e y > < K e y > L i n k s \ & l t ; C o l u m n s \ C o u n t   o f   o w n e r s h i p _ f l a g & g t ; - & l t ; M e a s u r e s \ o w n e r s h i p _ f l a g & g t ; \ C O L U M N < / K e y > < / a : K e y > < a : V a l u e   i : t y p e = " M e a s u r e G r i d V i e w S t a t e I D i a g r a m L i n k E n d p o i n t " / > < / a : K e y V a l u e O f D i a g r a m O b j e c t K e y a n y T y p e z b w N T n L X > < a : K e y V a l u e O f D i a g r a m O b j e c t K e y a n y T y p e z b w N T n L X > < a : K e y > < K e y > L i n k s \ & l t ; C o l u m n s \ C o u n t   o f   o w n e r s h i p _ f l a g & g t ; - & l t ; M e a s u r e s \ o w n e r s h i p _ f l a g & g t ; \ M E A S U R E < / K e y > < / a : K e y > < a : V a l u e   i : t y p e = " M e a s u r e G r i d V i e w S t a t e I D i a g r a m L i n k E n d p o i n t " / > < / a : K e y V a l u e O f D i a g r a m O b j e c t K e y a n y T y p e z b w N T n L X > < a : K e y V a l u e O f D i a g r a m O b j e c t K e y a n y T y p e z b w N T n L X > < a : K e y > < K e y > L i n k s \ & l t ; C o l u m n s \ S u m   o f   a n n u a l _ i n c o m e & g t ; - & l t ; M e a s u r e s \ a n n u a l _ i n c o m e & g t ; < / K e y > < / a : K e y > < a : V a l u e   i : t y p e = " M e a s u r e G r i d V i e w S t a t e I D i a g r a m L i n k " / > < / a : K e y V a l u e O f D i a g r a m O b j e c t K e y a n y T y p e z b w N T n L X > < a : K e y V a l u e O f D i a g r a m O b j e c t K e y a n y T y p e z b w N T n L X > < a : K e y > < K e y > L i n k s \ & l t ; C o l u m n s \ S u m   o f   a n n u a l _ i n c o m e & g t ; - & l t ; M e a s u r e s \ a n n u a l _ i n c o m e & g t ; \ C O L U M N < / K e y > < / a : K e y > < a : V a l u e   i : t y p e = " M e a s u r e G r i d V i e w S t a t e I D i a g r a m L i n k E n d p o i n t " / > < / a : K e y V a l u e O f D i a g r a m O b j e c t K e y a n y T y p e z b w N T n L X > < a : K e y V a l u e O f D i a g r a m O b j e c t K e y a n y T y p e z b w N T n L X > < a : K e y > < K e y > L i n k s \ & l t ; C o l u m n s \ S u m   o f   a n n u a l _ i n c o m e & g t ; - & l t ; M e a s u r e s \ a n n u a l _ i n c o m e & g t ; \ M E A S U R E < / K e y > < / a : K e y > < a : V a l u e   i : t y p e = " M e a s u r e G r i d V i e w S t a t e I D i a g r a m L i n k E n d p o i n t " / > < / a : K e y V a l u e O f D i a g r a m O b j e c t K e y a n y T y p e z b w N T n L X > < a : K e y V a l u e O f D i a g r a m O b j e c t K e y a n y T y p e z b w N T n L X > < a : K e y > < K e y > L i n k s \ & l t ; C o l u m n s \ A v e r a g e   o f   a n n u a l _ i n c o m e & g t ; - & l t ; M e a s u r e s \ a n n u a l _ i n c o m e & g t ; < / K e y > < / a : K e y > < a : V a l u e   i : t y p e = " M e a s u r e G r i d V i e w S t a t e I D i a g r a m L i n k " / > < / a : K e y V a l u e O f D i a g r a m O b j e c t K e y a n y T y p e z b w N T n L X > < a : K e y V a l u e O f D i a g r a m O b j e c t K e y a n y T y p e z b w N T n L X > < a : K e y > < K e y > L i n k s \ & l t ; C o l u m n s \ A v e r a g e   o f   a n n u a l _ i n c o m e & g t ; - & l t ; M e a s u r e s \ a n n u a l _ i n c o m e & g t ; \ C O L U M N < / K e y > < / a : K e y > < a : V a l u e   i : t y p e = " M e a s u r e G r i d V i e w S t a t e I D i a g r a m L i n k E n d p o i n t " / > < / a : K e y V a l u e O f D i a g r a m O b j e c t K e y a n y T y p e z b w N T n L X > < a : K e y V a l u e O f D i a g r a m O b j e c t K e y a n y T y p e z b w N T n L X > < a : K e y > < K e y > L i n k s \ & l t ; C o l u m n s \ A v e r a g e   o f   a n n u a l _ i n c o m e & g t ; - & l t ; M e a s u r e s \ a n n u a l _ i n c o m e & g t ; \ M E A S U R E < / K e y > < / a : K e y > < a : V a l u e   i : t y p e = " M e a s u r e G r i d V i e w S t a t e I D i a g r a m L i n k E n d p o i n t " / > < / a : K e y V a l u e O f D i a g r a m O b j e c t K e y a n y T y p e z b w N T n L X > < a : K e y V a l u e O f D i a g r a m O b j e c t K e y a n y T y p e z b w N T n L X > < a : K e y > < K e y > L i n k s \ & l t ; C o l u m n s \ S u m   o f   l o a n _ a m o u n t & g t ; - & l t ; M e a s u r e s \ l o a n _ a m o u n t & g t ; < / K e y > < / a : K e y > < a : V a l u e   i : t y p e = " M e a s u r e G r i d V i e w S t a t e I D i a g r a m L i n k " / > < / a : K e y V a l u e O f D i a g r a m O b j e c t K e y a n y T y p e z b w N T n L X > < a : K e y V a l u e O f D i a g r a m O b j e c t K e y a n y T y p e z b w N T n L X > < a : K e y > < K e y > L i n k s \ & l t ; C o l u m n s \ S u m   o f   l o a n _ a m o u n t & g t ; - & l t ; M e a s u r e s \ l o a n _ a m o u n t & g t ; \ C O L U M N < / K e y > < / a : K e y > < a : V a l u e   i : t y p e = " M e a s u r e G r i d V i e w S t a t e I D i a g r a m L i n k E n d p o i n t " / > < / a : K e y V a l u e O f D i a g r a m O b j e c t K e y a n y T y p e z b w N T n L X > < a : K e y V a l u e O f D i a g r a m O b j e c t K e y a n y T y p e z b w N T n L X > < a : K e y > < K e y > L i n k s \ & l t ; C o l u m n s \ S u m   o f   l o a n _ a m o u n t & g t ; - & l t ; M e a s u r e s \ l o a n _ a m o u n t & g t ; \ M E A S U R E < / K e y > < / a : K e y > < a : V a l u e   i : t y p e = " M e a s u r e G r i d V i e w S t a t e I D i a g r a m L i n k E n d p o i n t " / > < / a : K e y V a l u e O f D i a g r a m O b j e c t K e y a n y T y p e z b w N T n L X > < a : K e y V a l u e O f D i a g r a m O b j e c t K e y a n y T y p e z b w N T n L X > < a : K e y > < K e y > L i n k s \ & l t ; C o l u m n s \ A v e r a g e   o f   l o a n _ a m o u n t & g t ; - & l t ; M e a s u r e s \ l o a n _ a m o u n t & g t ; < / K e y > < / a : K e y > < a : V a l u e   i : t y p e = " M e a s u r e G r i d V i e w S t a t e I D i a g r a m L i n k " / > < / a : K e y V a l u e O f D i a g r a m O b j e c t K e y a n y T y p e z b w N T n L X > < a : K e y V a l u e O f D i a g r a m O b j e c t K e y a n y T y p e z b w N T n L X > < a : K e y > < K e y > L i n k s \ & l t ; C o l u m n s \ A v e r a g e   o f   l o a n _ a m o u n t & g t ; - & l t ; M e a s u r e s \ l o a n _ a m o u n t & g t ; \ C O L U M N < / K e y > < / a : K e y > < a : V a l u e   i : t y p e = " M e a s u r e G r i d V i e w S t a t e I D i a g r a m L i n k E n d p o i n t " / > < / a : K e y V a l u e O f D i a g r a m O b j e c t K e y a n y T y p e z b w N T n L X > < a : K e y V a l u e O f D i a g r a m O b j e c t K e y a n y T y p e z b w N T n L X > < a : K e y > < K e y > L i n k s \ & l t ; C o l u m n s \ A v e r a g e   o f   l o a n _ a m o u n t & g t ; - & l t ; M e a s u r e s \ l o a n _ a m o u n t & g t ; \ M E A S U R E < / K e y > < / a : K e y > < a : V a l u e   i : t y p e = " M e a s u r e G r i d V i e w S t a t e I D i a g r a m L i n k E n d p o i n t " / > < / a : K e y V a l u e O f D i a g r a m O b j e c t K e y a n y T y p e z b w N T n L X > < a : K e y V a l u e O f D i a g r a m O b j e c t K e y a n y T y p e z b w N T n L X > < a : K e y > < K e y > L i n k s \ & l t ; C o l u m n s \ S u m   o f   i n t _ r a t e & g t ; - & l t ; M e a s u r e s \ i n t _ r a t e & g t ; < / K e y > < / a : K e y > < a : V a l u e   i : t y p e = " M e a s u r e G r i d V i e w S t a t e I D i a g r a m L i n k " / > < / a : K e y V a l u e O f D i a g r a m O b j e c t K e y a n y T y p e z b w N T n L X > < a : K e y V a l u e O f D i a g r a m O b j e c t K e y a n y T y p e z b w N T n L X > < a : K e y > < K e y > L i n k s \ & l t ; C o l u m n s \ S u m   o f   i n t _ r a t e & g t ; - & l t ; M e a s u r e s \ i n t _ r a t e & g t ; \ C O L U M N < / K e y > < / a : K e y > < a : V a l u e   i : t y p e = " M e a s u r e G r i d V i e w S t a t e I D i a g r a m L i n k E n d p o i n t " / > < / a : K e y V a l u e O f D i a g r a m O b j e c t K e y a n y T y p e z b w N T n L X > < a : K e y V a l u e O f D i a g r a m O b j e c t K e y a n y T y p e z b w N T n L X > < a : K e y > < K e y > L i n k s \ & l t ; C o l u m n s \ S u m   o f   i n t _ r a t e & g t ; - & l t ; M e a s u r e s \ i n t _ r a t e & g t ; \ M E A S U R E < / K e y > < / a : K e y > < a : V a l u e   i : t y p e = " M e a s u r e G r i d V i e w S t a t e I D i a g r a m L i n k E n d p o i n t " / > < / a : K e y V a l u e O f D i a g r a m O b j e c t K e y a n y T y p e z b w N T n L X > < a : K e y V a l u e O f D i a g r a m O b j e c t K e y a n y T y p e z b w N T n L X > < a : K e y > < K e y > L i n k s \ & l t ; C o l u m n s \ A v e r a g e   o f   i n t _ r a t e & g t ; - & l t ; M e a s u r e s \ i n t _ r a t e & g t ; < / K e y > < / a : K e y > < a : V a l u e   i : t y p e = " M e a s u r e G r i d V i e w S t a t e I D i a g r a m L i n k " / > < / a : K e y V a l u e O f D i a g r a m O b j e c t K e y a n y T y p e z b w N T n L X > < a : K e y V a l u e O f D i a g r a m O b j e c t K e y a n y T y p e z b w N T n L X > < a : K e y > < K e y > L i n k s \ & l t ; C o l u m n s \ A v e r a g e   o f   i n t _ r a t e & g t ; - & l t ; M e a s u r e s \ i n t _ r a t e & g t ; \ C O L U M N < / K e y > < / a : K e y > < a : V a l u e   i : t y p e = " M e a s u r e G r i d V i e w S t a t e I D i a g r a m L i n k E n d p o i n t " / > < / a : K e y V a l u e O f D i a g r a m O b j e c t K e y a n y T y p e z b w N T n L X > < a : K e y V a l u e O f D i a g r a m O b j e c t K e y a n y T y p e z b w N T n L X > < a : K e y > < K e y > L i n k s \ & l t ; C o l u m n s \ A v e r a g e   o f   i n t _ r a t e & g t ; - & l t ; M e a s u r e s \ i n t _ r a t e & g t ; \ M E A S U R E < / K e y > < / a : K e y > < a : V a l u e   i : t y p e = " M e a s u r e G r i d V i e w S t a t e I D i a g r a m L i n k E n d p o i n t " / > < / a : K e y V a l u e O f D i a g r a m O b j e c t K e y a n y T y p e z b w N T n L X > < / V i e w S t a t e s > < / D i a g r a m M a n a g e r . S e r i a l i z a b l e D i a g r a m > < / A r r a y O f D i a g r a m M a n a g e r . S e r i a l i z a b l e D i a g r a m > ] ] > < / C u s t o m C o n t e n t > < / G e m i n i > 
</file>

<file path=customXml/item25.xml>��< ? x m l   v e r s i o n = " 1 . 0 "   e n c o d i n g = " U T F - 1 6 " ? > < G e m i n i   x m l n s = " h t t p : / / g e m i n i / p i v o t c u s t o m i z a t i o n / 9 b 9 e e 3 a e - 3 4 3 f - 4 7 c b - 9 7 2 4 - f 5 4 3 6 a 3 7 9 e 4 0 " > < 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26.xml>��< ? x m l   v e r s i o n = " 1 . 0 "   e n c o d i n g = " U T F - 1 6 " ? > < G e m i n i   x m l n s = " h t t p : / / g e m i n i / p i v o t c u s t o m i z a t i o n / 9 3 0 7 f 3 2 0 - 2 1 5 3 - 4 b 6 4 - 8 8 b 5 - 7 6 b 8 6 4 4 4 2 2 e d " > < 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C a l c u l a t e d F i e l d s > < S A H o s t H a s h > 0 < / S A H o s t H a s h > < G e m i n i F i e l d L i s t V i s i b l e > T r u e < / G e m i n i F i e l d L i s t V i s i b l e > < / S e t t i n g s > ] ] > < / C u s t o m C o n t e n t > < / G e m i n i > 
</file>

<file path=customXml/item27.xml>��< ? x m l   v e r s i o n = " 1 . 0 "   e n c o d i n g = " U T F - 1 6 " ? > < G e m i n i   x m l n s = " h t t p : / / g e m i n i / p i v o t c u s t o m i z a t i o n / 0 c c 2 2 9 e 6 - 3 c 0 c - 4 8 b 9 - b 6 f 8 - 4 1 5 8 b e f 0 7 c b 3 " > < 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28.xml>��< ? x m l   v e r s i o n = " 1 . 0 "   e n c o d i n g = " U T F - 1 6 " ? > < G e m i n i   x m l n s = " h t t p : / / g e m i n i / p i v o t c u s t o m i z a t i o n / 9 8 e 5 2 5 0 5 - f 7 7 2 - 4 3 1 1 - b 6 4 e - 0 0 a 2 c 6 2 7 a 9 5 5 " > < 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C a l c u l a t e d F i e l d s > < S A H o s t H a s h > 0 < / S A H o s t H a s h > < G e m i n i F i e l d L i s t V i s i b l e > T r u e < / G e m i n i F i e l d L i s t V i s i b l e > < / S e t t i n g s > ] ] > < / C u s t o m C o n t e n t > < / G e m i n i > 
</file>

<file path=customXml/item29.xml>��< ? x m l   v e r s i o n = " 1 . 0 "   e n c o d i n g = " U T F - 1 6 " ? > < G e m i n i   x m l n s = " h t t p : / / g e m i n i / p i v o t c u s t o m i z a t i o n / C l i e n t W i n d o w X M L " > < C u s t o m C o n t e n t > < ! [ C D A T A [ b a n k _ l o a n _ d a t a _ 0 e 5 9 4 7 5 4 - 0 c 8 0 - 4 5 9 f - 9 0 9 2 - 1 2 6 f 0 e 5 3 1 8 8 8 ] ] > < / 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 r a w _ d a t a _ 2 e 4 c 7 2 6 b - 6 c 3 9 - 4 a 9 b - 9 b e f - 7 3 e 3 c 3 6 4 a 8 f 2 < / K e y > < V a l u e   x m l n s : a = " h t t p : / / s c h e m a s . d a t a c o n t r a c t . o r g / 2 0 0 4 / 0 7 / M i c r o s o f t . A n a l y s i s S e r v i c e s . C o m m o n " > < a : H a s F o c u s > t r u e < / a : H a s F o c u s > < a : S i z e A t D p i 9 6 > 1 3 0 < / a : S i z e A t D p i 9 6 > < a : V i s i b l e > t r u e < / a : V i s i b l e > < / V a l u e > < / K e y V a l u e O f s t r i n g S a n d b o x E d i t o r . M e a s u r e G r i d S t a t e S c d E 3 5 R y > < K e y V a l u e O f s t r i n g S a n d b o x E d i t o r . M e a s u r e G r i d S t a t e S c d E 3 5 R y > < K e y > u n e m p l y o m e n t _ r a t e _ 9 b f c 8 2 d c - 8 9 e 2 - 4 3 c 5 - 8 4 9 c - 1 c 3 c 2 2 8 0 a 6 d b < / K e y > < V a l u e   x m l n s : a = " h t t p : / / s c h e m a s . d a t a c o n t r a c t . o r g / 2 0 0 4 / 0 7 / M i c r o s o f t . A n a l y s i s S e r v i c e s . C o m m o n " > < a : H a s F o c u s > t r u e < / a : H a s F o c u s > < a : S i z e A t D p i 9 6 > 1 3 0 < / a : S i z e A t D p i 9 6 > < a : V i s i b l e > t r u e < / a : V i s i b l e > < / V a l u e > < / K e y V a l u e O f s t r i n g S a n d b o x E d i t o r . M e a s u r e G r i d S t a t e S c d E 3 5 R y > < K e y V a l u e O f s t r i n g S a n d b o x E d i t o r . M e a s u r e G r i d S t a t e S c d E 3 5 R y > < K e y > b a n k _ l o a n _ d a t a _ 0 e 5 9 4 7 5 4 - 0 c 8 0 - 4 5 9 f - 9 0 9 2 - 1 2 6 f 0 e 5 3 1 8 8 8 < / K e y > < V a l u e   x m l n s : a = " h t t p : / / s c h e m a s . d a t a c o n t r a c t . o r g / 2 0 0 4 / 0 7 / M i c r o s o f t . A n a l y s i s S e r v i c e s . C o m m o n " > < a : H a s F o c u s > t r u e < / a : H a s F o c u s > < a : S i z e A t D p i 9 6 > 1 0 4 < / a : S i z e A t D p i 9 6 > < a : V i s i b l e > t r u e < / a : V i s i b l e > < / V a l u e > < / K e y V a l u e O f s t r i n g S a n d b o x E d i t o r . M e a s u r e G r i d S t a t e S c d E 3 5 R y > < / A r r a y O f K e y V a l u e O f s t r i n g S a n d b o x E d i t o r . M e a s u r e G r i d S t a t e S c d E 3 5 R y > ] ] > < / C u s t o m C o n t e n t > < / G e m i n i > 
</file>

<file path=customXml/item30.xml>��< ? x m l   v e r s i o n = " 1 . 0 "   e n c o d i n g = " U T F - 1 6 " ? > < G e m i n i   x m l n s = " h t t p : / / g e m i n i / p i v o t c u s t o m i z a t i o n / c f 6 c 5 c 4 0 - a e 4 f - 4 1 6 d - 9 9 c f - a 1 e d 4 4 f a b 0 2 d " > < 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31.xml>��< ? x m l   v e r s i o n = " 1 . 0 "   e n c o d i n g = " U T F - 1 6 " ? > < G e m i n i   x m l n s = " h t t p : / / g e m i n i / p i v o t c u s t o m i z a t i o n / S a n d b o x N o n E m p t y " > < C u s t o m C o n t e n t > < ! [ C D A T A [ 1 ] ] > < / C u s t o m C o n t e n t > < / G e m i n i > 
</file>

<file path=customXml/item32.xml>��< ? x m l   v e r s i o n = " 1 . 0 "   e n c o d i n g = " U T F - 1 6 " ? > < G e m i n i   x m l n s = " h t t p : / / g e m i n i / p i v o t c u s t o m i z a t i o n / 6 e 9 9 2 7 c c - a 0 9 0 - 4 5 c e - a 1 2 7 - 1 0 4 1 4 4 b 3 8 3 3 d " > < 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33.xml>��< ? x m l   v e r s i o n = " 1 . 0 "   e n c o d i n g = " U T F - 1 6 " ? > < G e m i n i   x m l n s = " h t t p : / / g e m i n i / p i v o t c u s t o m i z a t i o n / 3 a d b e d f a - 3 6 c 4 - 4 7 8 7 - 9 8 e a - d d 1 f d 3 1 3 3 d d a " > < 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C a l c u l a t e d F i e l d s > < S A H o s t H a s h > 0 < / S A H o s t H a s h > < G e m i n i F i e l d L i s t V i s i b l e > T r u e < / G e m i n i F i e l d L i s t V i s i b l e > < / S e t t i n g s > ] ] > < / C u s t o m C o n t e n t > < / G e m i n i > 
</file>

<file path=customXml/item3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 r a w _ d a t a 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 r a w _ d a t a 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 u n e m p l y o m e n t _ r a t e 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 u n e m p l y o m e n t _ r a t e 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 C o l u m n s \ s t a t e _ a b b r e v i a t i o n < / 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 C o l u m n s \ u n e m p l o y m e n t _ r a t e 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 b a n k _ l o a n _ d a t a 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 b a n k _ l o a n _ d a t a 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 C o l u m n s \ a d d r e s s _ s t a t e < / K e y > < / a : K e y > < a : V a l u e   i : t y p e = " T a b l e W i d g e t B a s e V i e w S t a t e " / > < / a : K e y V a l u e O f D i a g r a m O b j e c t K e y a n y T y p e z b w N T n L X > < a : K e y V a l u e O f D i a g r a m O b j e c t K e y a n y T y p e z b w N T n L X > < a : K e y > < K e y > C o l u m n s \ a p p l i c a t i o n _ t y p e 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 C o l u m n s \ i s s u e _ d a t e < / K e y > < / a : K e y > < a : V a l u e   i : t y p e = " T a b l e W i d g e t B a s e V i e w S t a t e " / > < / a : K e y V a l u e O f D i a g r a m O b j e c t K e y a n y T y p e z b w N T n L X > < a : K e y V a l u e O f D i a g r a m O b j e c t K e y a n y T y p e z b w N T n L X > < a : K e y > < K e y > C o l u m n s \ l a s t _ c r e d i t _ p u l l _ d a t e < / K e y > < / a : K e y > < a : V a l u e   i : t y p e = " T a b l e W i d g e t B a s e V i e w S t a t e " / > < / a : K e y V a l u e O f D i a g r a m O b j e c t K e y a n y T y p e z b w N T n L X > < a : K e y V a l u e O f D i a g r a m O b j e c t K e y a n y T y p e z b w N T n L X > < a : K e y > < K e y > C o l u m n s \ l a s t _ p a y m e n t _ d a t e < / 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 C o l u m n s \ L o a n   Q u a l i t y < / K e y > < / a : K e y > < a : V a l u e   i : t y p e = " T a b l e W i d g e t B a s e V i e w S t a t e " / > < / a : K e y V a l u e O f D i a g r a m O b j e c t K e y a n y T y p e z b w N T n L X > < a : K e y V a l u e O f D i a g r a m O b j e c t K e y a n y T y p e z b w N T n L X > < a : K e y > < K e y > C o l u m n s \ n e x t _ p a y m e n t _ d a t e < / 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 C o l u m n s \ t e r m _ m o n t h s < / K e y > < / a : K e y > < a : V a l u e   i : t y p e = " T a b l e W i d g e t B a s e V i e w S t a t e " / > < / a : K e y V a l u e O f D i a g r a m O b j e c t K e y a n y T y p e z b w N T n L X > < a : K e y V a l u e O f D i a g r a m O b j e c t K e y a n y T y p e z b w N T n L X > < a : K e y > < K e y > C o l u m n s \ a n n u a l _ i n c o m e 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 C o l u m n s \ l o a n _ a m o u n t < / 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 C o l u m n s \ t o t a l _ p a y m e n t < / K e y > < / a : K e y > < a : V a l u e   i : t y p e = " T a b l e W i d g e t B a s e V i e w S t a t e " / > < / a : K e y V a l u e O f D i a g r a m O b j e c t K e y a n y T y p e z b w N T n L X > < a : K e y V a l u e O f D i a g r a m O b j e c t K e y a n y T y p e z b w N T n L X > < a : K e y > < K e y > C o l u m n s \ D T I   F l a g < / K e y > < / a : K e y > < a : V a l u e   i : t y p e = " T a b l e W i d g e t B a s e V i e w S t a t e " / > < / a : K e y V a l u e O f D i a g r a m O b j e c t K e y a n y T y p e z b w N T n L X > < a : K e y V a l u e O f D i a g r a m O b j e c t K e y a n y T y p e z b w N T n L X > < a : K e y > < K e y > C o l u m n s \ e x p e c t e d _ t o t a l _ p a y m e n t < / K e y > < / a : K e y > < a : V a l u e   i : t y p e = " T a b l e W i d g e t B a s e V i e w S t a t e " / > < / a : K e y V a l u e O f D i a g r a m O b j e c t K e y a n y T y p e z b w N T n L X > < a : K e y V a l u e O f D i a g r a m O b j e c t K e y a n y T y p e z b w N T n L X > < a : K e y > < K e y > C o l u m n s \ i s s u e _ d a t e   ( M o n t h   I n d e x ) < / K e y > < / a : K e y > < a : V a l u e   i : t y p e = " T a b l e W i d g e t B a s e V i e w S t a t e " / > < / a : K e y V a l u e O f D i a g r a m O b j e c t K e y a n y T y p e z b w N T n L X > < a : K e y V a l u e O f D i a g r a m O b j e c t K e y a n y T y p e z b w N T n L X > < a : K e y > < K e y > C o l u m n s \ i s s u e _ d a t e   ( M o n t h ) < / K e y > < / a : K e y > < a : V a l u e   i : t y p e = " T a b l e W i d g e t B a s e V i e w S t a t e " / > < / a : K e y V a l u e O f D i a g r a m O b j e c t K e y a n y T y p e z b w N T n L X > < a : K e y V a l u e O f D i a g r a m O b j e c t K e y a n y T y p e z b w N T n L X > < a : K e y > < K e y > C o l u m n s \ R i s k F l a g < / K e y > < / a : K e y > < a : V a l u e   i : t y p e = " T a b l e W i d g e t B a s e V i e w S t a t e " / > < / a : K e y V a l u e O f D i a g r a m O b j e c t K e y a n y T y p e z b w N T n L X > < a : K e y V a l u e O f D i a g r a m O b j e c t K e y a n y T y p e z b w N T n L X > < a : K e y > < K e y > C o l u m n s \ u n e m p l o y m e n t _ r a t e < / K e y > < / a : K e y > < a : V a l u e   i : t y p e = " T a b l e W i d g e t B a s e V i e w S t a t e " / > < / a : K e y V a l u e O f D i a g r a m O b j e c t K e y a n y T y p e z b w N T n L X > < a : K e y V a l u e O f D i a g r a m O b j e c t K e y a n y T y p e z b w N T n L X > < a : K e y > < K e y > C o l u m n s \ s t a t e _ u n e m p l o y m e n t _ f l a g < / K e y > < / a : K e y > < a : V a l u e   i : t y p e = " T a b l e W i d g e t B a s e V i e w S t a t e " / > < / a : K e y V a l u e O f D i a g r a m O b j e c t K e y a n y T y p e z b w N T n L X > < a : K e y V a l u e O f D i a g r a m O b j e c t K e y a n y T y p e z b w N T n L X > < a : K e y > < K e y > C o l u m n s \ D u p l i c a t e _ F l a g < / K e y > < / a : K e y > < a : V a l u e   i : t y p e = " T a b l e W i d g e t B a s e V i e w S t a t e " / > < / a : K e y V a l u e O f D i a g r a m O b j e c t K e y a n y T y p e z b w N T n L X > < a : K e y V a l u e O f D i a g r a m O b j e c t K e y a n y T y p e z b w N T n L X > < a : K e y > < K e y > C o l u m n s \ f r a u d _ d e t e c t i o n _ f l a g < / K e y > < / a : K e y > < a : V a l u e   i : t y p e = " T a b l e W i d g e t B a s e V i e w S t a t e " / > < / a : K e y V a l u e O f D i a g r a m O b j e c t K e y a n y T y p e z b w N T n L X > < a : K e y V a l u e O f D i a g r a m O b j e c t K e y a n y T y p e z b w N T n L X > < a : K e y > < K e y > C o l u m n s \ o w n e r s h i p _ f l a g < / K e y > < / a : K e y > < a : V a l u e   i : t y p e = " T a b l e W i d g e t B a s e V i e w S t a t e " / > < / a : K e y V a l u e O f D i a g r a m O b j e c t K e y a n y T y p e z b w N T n L X > < a : K e y V a l u e O f D i a g r a m O b j e c t K e y a n y T y p e z b w N T n L X > < a : K e y > < K e y > C o l u m n s \ u n d e r p a i d _ l o a n s _ f l a g < / K e y > < / a : K e y > < a : V a l u e   i : t y p e = " T a b l e W i d g e t B a s e V i e w S t a t e " / > < / a : K e y V a l u e O f D i a g r a m O b j e c t K e y a n y T y p e z b w N T n L X > < a : K e y V a l u e O f D i a g r a m O b j e c t K e y a n y T y p e z b w N T n L X > < a : K e y > < K e y > C o l u m n s \ b o r r o w e r _ e x p e r i e n c e _ f l a g < / K e y > < / a : K e y > < a : V a l u e   i : t y p e = " T a b l e W i d g e t B a s e V i e w S t a t e " / > < / a : K e y V a l u e O f D i a g r a m O b j e c t K e y a n y T y p e z b w N T n L X > < a : K e y V a l u e O f D i a g r a m O b j e c t K e y a n y T y p e z b w N T n L X > < a : K e y > < K e y > C o l u m n s \ r e p a y m e n t _ e f f i c i e n c y _ r a t i o < / K e y > < / a : K e y > < a : V a l u e   i : t y p e = " T a b l e W i d g e t B a s e V i e w S t a t e " / > < / a : K e y V a l u e O f D i a g r a m O b j e c t K e y a n y T y p e z b w N T n L X > < a : K e y V a l u e O f D i a g r a m O b j e c t K e y a n y T y p e z b w N T n L X > < a : K e y > < K e y > C o l u m n s \ r e p a y m e n t _ e f f i c i e n c y _ f l a g < / K e y > < / a : K e y > < a : V a l u e   i : t y p e = " T a b l e W i d g e t B a s e V i e w S t a t e " / > < / a : K e y V a l u e O f D i a g r a m O b j e c t K e y a n y T y p e z b w N T n L X > < a : K e y V a l u e O f D i a g r a m O b j e c t K e y a n y T y p e z b w N T n L X > < a : K e y > < K e y > C o l u m n s \ S t a t e _ N a m e 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5.xml>��< ? x m l   v e r s i o n = " 1 . 0 "   e n c o d i n g = " U T F - 1 6 " ? > < G e m i n i   x m l n s = " h t t p : / / g e m i n i / p i v o t c u s t o m i z a t i o n / f c f 0 7 9 5 1 - 6 d 0 a - 4 3 3 3 - a 9 0 2 - e 7 f 7 7 1 4 1 1 0 a 3 " > < 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C a l c u l a t e d F i e l d s > < S A H o s t H a s h > 0 < / S A H o s t H a s h > < G e m i n i F i e l d L i s t V i s i b l e > T r u e < / G e m i n i F i e l d L i s t V i s i b l e > < / S e t t i n g s > ] ] > < / C u s t o m C o n t e n t > < / G e m i n i > 
</file>

<file path=customXml/item36.xml>��< ? x m l   v e r s i o n = " 1 . 0 "   e n c o d i n g = " U T F - 1 6 " ? > < G e m i n i   x m l n s = " h t t p : / / g e m i n i / p i v o t c u s t o m i z a t i o n / 0 3 f d 9 0 d 7 - 4 0 8 7 - 4 2 0 8 - 9 e 9 1 - 5 1 6 3 d 5 0 8 8 2 4 7 " > < 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C a l c u l a t e d F i e l d s > < S A H o s t H a s h > 0 < / S A H o s t H a s h > < G e m i n i F i e l d L i s t V i s i b l e > T r u e < / G e m i n i F i e l d L i s t V i s i b l e > < / S e t t i n g s > ] ] > < / C u s t o m C o n t e n t > < / G e m i n i > 
</file>

<file path=customXml/item37.xml>��< ? x m l   v e r s i o n = " 1 . 0 "   e n c o d i n g = " U T F - 1 6 " ? > < G e m i n i   x m l n s = " h t t p : / / g e m i n i / p i v o t c u s t o m i z a t i o n / 8 4 d 4 c b b e - 3 4 9 7 - 4 4 0 4 - 9 5 2 9 - 7 a 9 8 b 1 8 1 0 e 1 f " > < 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38.xml>��< ? x m l   v e r s i o n = " 1 . 0 "   e n c o d i n g = " U T F - 1 6 " ? > < G e m i n i   x m l n s = " h t t p : / / g e m i n i / p i v o t c u s t o m i z a t i o n / 7 e a 0 7 f b 2 - 9 f 6 8 - 4 3 e 5 - 8 0 4 3 - 5 1 0 b a d f 4 a 3 f 8 " > < 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C a l c u l a t e d F i e l d s > < S A H o s t H a s h > 0 < / S A H o s t H a s h > < G e m i n i F i e l d L i s t V i s i b l e > T r u e < / G e m i n i F i e l d L i s t V i s i b l e > < / S e t t i n g s > ] ] > < / C u s t o m C o n t e n t > < / G e m i n i > 
</file>

<file path=customXml/item39.xml>��< ? x m l   v e r s i o n = " 1 . 0 "   e n c o d i n g = " U T F - 1 6 " ? > < G e m i n i   x m l n s = " h t t p : / / g e m i n i / p i v o t c u s t o m i z a t i o n / 4 7 d 6 1 b a b - c 1 9 c - 4 a a e - a 0 1 a - 9 2 6 f 9 d 5 7 1 4 3 9 " > < 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 2 0 2 5 - 0 5 - 0 9 T 1 3 : 5 4 : 2 0 . 2 0 8 1 8 6 7 + 0 5 : 3 0 < / L a s t P r o c e s s e d T i m e > < / D a t a M o d e l i n g S a n d b o x . S e r i a l i z e d S a n d b o x E r r o r C a c h e > ] ] > < / C u s t o m C o n t e n t > < / G e m i n i > 
</file>

<file path=customXml/item40.xml>��< ? x m l   v e r s i o n = " 1 . 0 "   e n c o d i n g = " U T F - 1 6 " ? > < G e m i n i   x m l n s = " h t t p : / / g e m i n i / p i v o t c u s t o m i z a t i o n / T a b l e X M L _ u n e m p l y o m e n t _ r a t e _ 9 b f c 8 2 d c - 8 9 e 2 - 4 3 c 5 - 8 4 9 c - 1 c 3 c 2 2 8 0 a 6 d b " > < C u s t o m C o n t e n t > < ! [ C D A T A [ < T a b l e W i d g e t G r i d S e r i a l i z a t i o n   x m l n s : x s d = " h t t p : / / w w w . w 3 . o r g / 2 0 0 1 / X M L S c h e m a "   x m l n s : x s i = " h t t p : / / w w w . w 3 . o r g / 2 0 0 1 / X M L S c h e m a - i n s t a n c e " > < C o l u m n S u g g e s t e d T y p e   / > < C o l u m n F o r m a t   / > < C o l u m n A c c u r a c y   / > < C o l u m n C u r r e n c y S y m b o l   / > < C o l u m n P o s i t i v e P a t t e r n   / > < C o l u m n N e g a t i v e P a t t e r n   / > < C o l u m n W i d t h s > < i t e m > < k e y > < s t r i n g > s t a t e _ a b b r e v i a t i o n < / s t r i n g > < / k e y > < v a l u e > < i n t > 1 8 8 < / i n t > < / v a l u e > < / i t e m > < i t e m > < k e y > < s t r i n g > N a m e < / s t r i n g > < / k e y > < v a l u e > < i n t > 8 8 < / i n t > < / v a l u e > < / i t e m > < i t e m > < k e y > < s t r i n g > u n e m p l o y m e n t _ r a t e < / s t r i n g > < / k e y > < v a l u e > < i n t > 2 0 0 < / i n t > < / v a l u e > < / i t e m > < / C o l u m n W i d t h s > < C o l u m n D i s p l a y I n d e x > < i t e m > < k e y > < s t r i n g > s t a t e _ a b b r e v i a t i o n < / s t r i n g > < / k e y > < v a l u e > < i n t > 0 < / i n t > < / v a l u e > < / i t e m > < i t e m > < k e y > < s t r i n g > N a m e < / s t r i n g > < / k e y > < v a l u e > < i n t > 1 < / i n t > < / v a l u e > < / i t e m > < i t e m > < k e y > < s t r i n g > u n e m p l o y m e n t _ r a t e < / s t r i n g > < / k e y > < v a l u e > < i n t > 2 < / 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P o w e r P i v o t V e r s i o n " > < C u s t o m C o n t e n t > < ! [ C D A T A [ 2 0 1 5 . 1 3 0 . 1 6 0 6 . 1 ] ] > < / C u s t o m C o n t e n t > < / G e m i n i > 
</file>

<file path=customXml/item42.xml>��< ? x m l   v e r s i o n = " 1 . 0 "   e n c o d i n g = " U T F - 1 6 " ? > < G e m i n i   x m l n s = " h t t p : / / g e m i n i / p i v o t c u s t o m i z a t i o n / S h o w I m p l i c i t M e a s u r e s " > < C u s t o m C o n t e n t > < ! [ C D A T A [ F a l s e ] ] > < / C u s t o m C o n t e n t > < / G e m i n i > 
</file>

<file path=customXml/item43.xml>��< ? x m l   v e r s i o n = " 1 . 0 "   e n c o d i n g = " U T F - 1 6 " ? > < G e m i n i   x m l n s = " h t t p : / / g e m i n i / p i v o t c u s t o m i z a t i o n / 6 2 b 6 e c 6 a - f f f 5 - 4 1 3 f - a 1 6 7 - b 4 9 0 8 d d 6 b c a 4 " > < 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44.xml>��< ? x m l   v e r s i o n = " 1 . 0 "   e n c o d i n g = " U T F - 1 6 " ? > < G e m i n i   x m l n s = " h t t p : / / g e m i n i / p i v o t c u s t o m i z a t i o n / 6 3 d 3 a 5 7 0 - b 6 9 d - 4 b d 3 - 8 5 f 9 - a a 5 0 5 f 7 f 3 8 e d " > < 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C a l c u l a t e d F i e l d s > < S A H o s t H a s h > 0 < / S A H o s t H a s h > < G e m i n i F i e l d L i s t V i s i b l e > T r u e < / G e m i n i F i e l d L i s t V i s i b l e > < / S e t t i n g s > ] ] > < / C u s t o m C o n t e n t > < / G e m i n i > 
</file>

<file path=customXml/item45.xml>��< ? x m l   v e r s i o n = " 1 . 0 "   e n c o d i n g = " U T F - 1 6 " ? > < G e m i n i   x m l n s = " h t t p : / / g e m i n i / p i v o t c u s t o m i z a t i o n / f 8 6 5 6 f 5 6 - 2 a 3 9 - 4 2 b 7 - 8 7 7 6 - 4 1 4 7 0 0 a 1 1 4 b f " > < 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46.xml>��< ? x m l   v e r s i o n = " 1 . 0 "   e n c o d i n g = " U T F - 1 6 " ? > < G e m i n i   x m l n s = " h t t p : / / g e m i n i / p i v o t c u s t o m i z a t i o n / T a b l e X M L _ r a w _ d a t a _ 2 e 4 c 7 2 6 b - 6 c 3 9 - 4 a 9 b - 9 b e f - 7 3 e 3 c 3 6 4 a 8 f 2 " > < 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 1 0 4 < / i n t > < / v a l u e > < / i t e m > < i t e m > < k e y > < s t r i n g > N a m e < / s t r i n g > < / k e y > < v a l u e > < i n t > 8 8 < / i n t > < / v a l u e > < / i t e m > < i t e m > < k e y > < s t r i n g > E x t e n s i o n < / s t r i n g > < / k e y > < v a l u e > < i n t > 1 1 7 < / i n t > < / v a l u e > < / i t e m > < i t e m > < k e y > < s t r i n g > D a t e   a c c e s s e d < / s t r i n g > < / k e y > < v a l u e > < i n t > 1 5 2 < / i n t > < / v a l u e > < / i t e m > < i t e m > < k e y > < s t r i n g > D a t e   m o d i f i e d < / s t r i n g > < / k e y > < v a l u e > < i n t > 1 5 1 < / i n t > < / v a l u e > < / i t e m > < i t e m > < k e y > < s t r i n g > D a t e   c r e a t e d < / s t r i n g > < / k e y > < v a l u e > < i n t > 1 4 1 < / i n t > < / v a l u e > < / i t e m > < i t e m > < k e y > < s t r i n g > F o l d e r   P a t h < / s t r i n g > < / k e y > < v a l u e > < i n t > 1 3 1 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0 f 1 c 4 e 5 5 - 5 5 e d - 4 f 8 4 - 9 b d c - 0 8 c b 9 4 c f c 7 f 1 " > < 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48.xml>��< ? x m l   v e r s i o n = " 1 . 0 "   e n c o d i n g = " U T F - 1 6 " ? > < G e m i n i   x m l n s = " h t t p : / / g e m i n i / p i v o t c u s t o m i z a t i o n / 3 a 2 5 5 e 1 b - 0 d 5 0 - 4 4 8 7 - b 7 8 9 - d d 2 7 1 f 1 a 5 e f 8 " > < 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C a l c u l a t e d F i e l d s > < S A H o s t H a s h > 0 < / S A H o s t H a s h > < G e m i n i F i e l d L i s t V i s i b l e > T r u e < / G e m i n i F i e l d L i s t V i s i b l e > < / S e t t i n g s > ] ] > < / C u s t o m C o n t e n t > < / G e m i n i > 
</file>

<file path=customXml/item49.xml>��< ? x m l   v e r s i o n = " 1 . 0 "   e n c o d i n g = " U T F - 1 6 " ? > < G e m i n i   x m l n s = " h t t p : / / g e m i n i / p i v o t c u s t o m i z a t i o n / 5 7 f e c 6 2 7 - 7 0 6 c - 4 e 7 7 - 8 c d 4 - c 7 7 6 2 2 d e 8 a 7 0 " > < 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 T r u e < / V i s i b l e > < / i t e m > < / C a l c u l a t e d F i e l d s > < S A H o s t H a s h > 0 < / S A H o s t H a s h > < G e m i n i F i e l d L i s t V i s i b l e > T r u e < / G e m i n i F i e l d L i s t V i s i b l e > < / S e t t i n g s > ] ] > < / C u s t o m C o n t e n t > < / G e m i n i > 
</file>

<file path=customXml/item5.xml>��< ? x m l   v e r s i o n = " 1 . 0 "   e n c o d i n g = " U T F - 1 6 " ? > < G e m i n i   x m l n s = " h t t p : / / g e m i n i / p i v o t c u s t o m i z a t i o n / d 3 0 a 0 5 9 d - 8 a 5 8 - 4 8 b 7 - 8 a 0 5 - 2 b c 5 2 a 0 4 6 1 1 7 " > < 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C a l c u l a t e d F i e l d s > < S A H o s t H a s h > 0 < / S A H o s t H a s h > < G e m i n i F i e l d L i s t V i s i b l e > T r u e < / G e m i n i F i e l d L i s t V i s i b l e > < / S e t t i n g s > ] ] > < / C u s t o m C o n t e n t > < / G e m i n i > 
</file>

<file path=customXml/item50.xml>��< ? x m l   v e r s i o n = " 1 . 0 "   e n c o d i n g = " U T F - 1 6 " ? > < G e m i n i   x m l n s = " h t t p : / / g e m i n i / p i v o t c u s t o m i z a t i o n / b f 3 0 7 3 8 9 - a f 3 2 - 4 9 7 8 - a 2 6 7 - 4 3 0 2 5 f 7 3 4 f 3 3 " > < 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6.xml>��< ? x m l   v e r s i o n = " 1 . 0 "   e n c o d i n g = " U T F - 1 6 " ? > < G e m i n i   x m l n s = " h t t p : / / g e m i n i / p i v o t c u s t o m i z a t i o n / 6 4 9 3 8 2 9 3 - 5 4 0 8 - 4 2 b 3 - a e 2 3 - 0 3 0 d e 2 0 9 8 3 e b " > < C u s t o m C o n t e n t > < ! [ C D A T A [ < ? x m l   v e r s i o n = " 1 . 0 "   e n c o d i n g = " u t f - 1 6 " ? > < S e t t i n g s > < C a l c u l a t e d F i e l d s > < i t e m > < M e a s u r e N a m e > E x p e c t e d   L o a n   G r o w t h < / M e a s u r e N a m e > < D i s p l a y N a m e > E x p e c t e d   L o a n   G r o w t h < / D i s p l a y N a m e > < V i s i b l e > T r u e < / V i s i b l e > < / i t e m > < i t e m > < M e a s u r e N a m e > e x p e c t e d   t o t a l   p a y m e n t < / M e a s u r e N a m e > < D i s p l a y N a m e > e x p e c t e d   t o t a l   p a y m e n t < / D i s p l a y N a m e > < V i s i b l e > F a l s e < / V i s i b l e > < / i t e m > < i t e m > < M e a s u r e N a m e > T o t a l   P a y m e n t < / M e a s u r e N a m e > < D i s p l a y N a m e > T o t a l   P a y m e n t < / D i s p l a y N a m e > < V i s i b l e > F a l s e < / V i s i b l e > < / i t e m > < i t e m > < M e a s u r e N a m e > T o t a l   A m o u n t   D i s b u r s e d < / M e a s u r e N a m e > < D i s p l a y N a m e > T o t a l   A m o u n t   D i s b u r s e d < / D i s p l a y N a m e > < V i s i b l e > F a l s e < / V i s i b l e > < / i t e m > < i t e m > < M e a s u r e N a m e > T o t a l   D i s b u r s e d   L o a n s < / M e a s u r e N a m e > < D i s p l a y N a m e > T o t a l   D i s b u r s e d   L o a n s < / D i s p l a y N a m e > < V i s i b l e > F a l s e < / V i s i b l e > < / i t e m > < i t e m > < M e a s u r e N a m e > A v g   D T I < / M e a s u r e N a m e > < D i s p l a y N a m e > A v g   D T I < / D i s p l a y N a m e > < V i s i b l e > F a l s e < / V i s i b l e > < / i t e m > < i t e m > < M e a s u r e N a m e > A v g   I n t e r e s t   R a t e < / M e a s u r e N a m e > < D i s p l a y N a m e > A v g   I n t e r e s t   R a t e < / D i s p l a y N a m e > < V i s i b l e > T r u e < / V i s i b l e > < / i t e m > < i t e m > < M e a s u r e N a m e > E x p e c t e d   p a i d   % < / M e a s u r e N a m e > < D i s p l a y N a m e > E x p e c t e d   p a i d   % < / D i s p l a y N a m e > < V i s i b l e > T r u e < / V i s i b l e > < / i t e m > < i t e m > < M e a s u r e N a m e > A c t i v e   L o a n s < / M e a s u r e N a m e > < D i s p l a y N a m e > A c t i v e   L o a n s < / D i s p l a y N a m e > < V i s i b l e > T r u e < / V i s i b l e > < / i t e m > < i t e m > < M e a s u r e N a m e > %   F r a u d   L o a n s < / M e a s u r e N a m e > < D i s p l a y N a m e > %   F r a u d   L o a n s < / D i s p l a y N a m e > < V i s i b l e > F a l s e < / V i s i b l e > < / i t e m > < i t e m > < M e a s u r e N a m e > C l o s e d   L o a n s < / M e a s u r e N a m e > < D i s p l a y N a m e > C l o s e d   L o a n s < / D i s p l a y N a m e > < V i s i b l e > T r u e < / V i s i b l e > < / i t e m > < i t e m > < M e a s u r e N a m e > C h a r g e d   O f f / D e f a u l t e d   L o a n s < / M e a s u r e N a m e > < D i s p l a y N a m e > C h a r g e d   O f f / D e f a u l t e d   L o a n s < / D i s p l a y N a m e > < V i s i b l e > F a l s e < / V i s i b l e > < / i t e m > < / C a l c u l a t e d F i e l d s > < S A H o s t H a s h > 0 < / S A H o s t H a s h > < G e m i n i F i e l d L i s t V i s i b l e > T r u e < / G e m i n i F i e l d L i s t V i s i b l e > < / S e t t i n g s > ] ] > < / C u s t o m C o n t e n t > < / G e m i n i > 
</file>

<file path=customXml/item7.xml>��< ? x m l   v e r s i o n = " 1 . 0 "   e n c o d i n g = " U T F - 1 6 " ? > < G e m i n i   x m l n s = " h t t p : / / g e m i n i / p i v o t c u s t o m i z a t i o n / d 0 7 d 5 0 4 9 - 2 4 6 3 - 4 e a 5 - 8 5 3 9 - e a 1 8 4 d 5 2 7 5 a 8 " > < 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8.xml>��< ? x m l   v e r s i o n = " 1 . 0 "   e n c o d i n g = " U T F - 1 6 " ? > < G e m i n i   x m l n s = " h t t p : / / g e m i n i / p i v o t c u s t o m i z a t i o n / f 3 8 a 3 7 f d - 9 d 2 b - 4 2 4 e - 8 7 6 8 - e 1 f a f 9 f 0 1 1 6 c " > < 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i t e m > < M e a s u r e N a m e > R i s k   %   L o a n s < / M e a s u r e N a m e > < D i s p l a y N a m e > R i s k   %   L o a n s < / D i s p l a y N a m e > < V i s i b l e > F a l s e < / V i s i b l e > < / i t e m > < i t e m > < M e a s u r e N a m e > N o .   o f   C l e a n   L o a n s < / M e a s u r e N a m e > < D i s p l a y N a m e > N o .   o f   C l e a n   L o a n s < / D i s p l a y N a m e > < V i s i b l e > F a l s e < / V i s i b l e > < / i t e m > < i t e m > < M e a s u r e N a m e > N o .   o f   P o t e n t i a l   f r a u d s < / M e a s u r e N a m e > < D i s p l a y N a m e > N o .   o f   P o t e n t i a l   f r a u d s < / D i s p l a y N a m e > < V i s i b l e > F a l s e < / V i s i b l e > < / i t e m > < i t e m > < M e a s u r e N a m e > N o .   o f   F a l s e   o w n e r s h i p   f l a g s < / M e a s u r e N a m e > < D i s p l a y N a m e > N o .   o f   F a l s e   o w n e r s h i p   f l a g s < / D i s p l a y N a m e > < V i s i b l e > F a l s e < / V i s i b l e > < / i t e m > < / C a l c u l a t e d F i e l d s > < S A H o s t H a s h > 0 < / S A H o s t H a s h > < G e m i n i F i e l d L i s t V i s i b l e > T r u e < / G e m i n i F i e l d L i s t V i s i b l e > < / S e t t i n g s > ] ] > < / C u s t o m C o n t e n t > < / G e m i n i > 
</file>

<file path=customXml/item9.xml>��< ? x m l   v e r s i o n = " 1 . 0 "   e n c o d i n g = " U T F - 1 6 " ? > < G e m i n i   x m l n s = " h t t p : / / g e m i n i / p i v o t c u s t o m i z a t i o n / f 2 3 f 8 7 6 a - 0 4 f 0 - 4 2 b 2 - 9 2 c 3 - 3 c c 9 5 c b 6 0 6 5 c " > < C u s t o m C o n t e n t > < ! [ C D A T A [ < ? x m l   v e r s i o n = " 1 . 0 "   e n c o d i n g = " u t f - 1 6 " ? > < S e t t i n g s > < C a l c u l a t e d F i e l d s > < i t e m > < M e a s u r e N a m e > E x p e c t e d   L o a n   G r o w t h < / M e a s u r e N a m e > < D i s p l a y N a m e > E x p e c t e d   L o a n   G r o w t h < / D i s p l a y N a m e > < V i s i b l e > F a l s e < / V i s i b l e > < / i t e m > < i t e m > < M e a s u r e N a m e > e x p e c t e d   t o t a l   p a y m e n t < / M e a s u r e N a m e > < D i s p l a y N a m e > e x p e c t e d   t o t a l   p a y m e n t < / D i s p l a y N a m e > < V i s i b l e > F a l s e < / V i s i b l e > < / i t e m > < i t e m > < M e a s u r e N a m e > T o t a l   P a y m e n t < / M e a s u r e N a m e > < D i s p l a y N a m e > T o t a l   P a y m e n t < / D i s p l a y N a m e > < V i s i b l e > F a l s e < / V i s i b l e > < / i t e m > < i t e m > < M e a s u r e N a m e > T o t a l   D i s b u r s e d   L o a n s < / M e a s u r e N a m e > < D i s p l a y N a m e > T o t a l   D i s b u r s e d   L o a n s < / D i s p l a y N a m e > < V i s i b l e > F a l s e < / V i s i b l e > < / i t e m > < i t e m > < M e a s u r e N a m e > T o t a l   A m o u n t   D i s b u r s e d < / M e a s u r e N a m e > < D i s p l a y N a m e > T o t a l   A m o u n t   D i s b u r s e d < / D i s p l a y N a m e > < V i s i b l e > F a l s e < / V i s i b l e > < / i t e m > < i t e m > < M e a s u r e N a m e > A v g   D T I < / M e a s u r e N a m e > < D i s p l a y N a m e > A v g   D T I < / D i s p l a y N a m e > < V i s i b l e > F a l s e < / V i s i b l e > < / i t e m > < i t e m > < M e a s u r e N a m e > A v g   I n t e r e s t   R a t e < / M e a s u r e N a m e > < D i s p l a y N a m e > A v g   I n t e r e s t   R a t e < / D i s p l a y N a m e > < V i s i b l e > F a l s e < / V i s i b l e > < / i t e m > < i t e m > < M e a s u r e N a m e > E x p e c t e d   p a i d   % < / M e a s u r e N a m e > < D i s p l a y N a m e > E x p e c t e d   p a i d   % < / D i s p l a y N a m e > < V i s i b l e > F a l s e < / V i s i b l e > < / i t e m > < i t e m > < M e a s u r e N a m e > %   F r a u d   L o a n s < / M e a s u r e N a m e > < D i s p l a y N a m e > %   F r a u d   L o a n s < / D i s p l a y N a m e > < V i s i b l e > F a l s e < / V i s i b l e > < / i t e m > < i t e m > < M e a s u r e N a m e > A c t i v e   L o a n s < / M e a s u r e N a m e > < D i s p l a y N a m e > A c t i v e   L o a n s < / D i s p l a y N a m e > < V i s i b l e > F a l s e < / V i s i b l e > < / i t e m > < i t e m > < M e a s u r e N a m e > C h a r g e d   O f f / D e f a u l t e d   L o a n s < / M e a s u r e N a m e > < D i s p l a y N a m e > C h a r g e d   O f f / D e f a u l t e d   L o a n s < / D i s p l a y N a m e > < V i s i b l e > F a l s e < / V i s i b l e > < / i t e m > < i t e m > < M e a s u r e N a m e > C l o s e d   L o a n s < / M e a s u r e N a m e > < D i s p l a y N a m e > C l o s e d   L o a n s < / D i s p l a y N a m e > < V i s i b l e > F a l s e < / V i s i b l e > < / i t e m > < i t e m > < M e a s u r e N a m e > %   C h a r g e d   O f f   L o a n s < / M e a s u r e N a m e > < D i s p l a y N a m e > %   C h a r g e d   O f f   L o a n s 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AFB9A8BB-ECB0-4031-BAB0-A963363DB4DA}">
  <ds:schemaRefs/>
</ds:datastoreItem>
</file>

<file path=customXml/itemProps10.xml><?xml version="1.0" encoding="utf-8"?>
<ds:datastoreItem xmlns:ds="http://schemas.openxmlformats.org/officeDocument/2006/customXml" ds:itemID="{93F8234C-869D-4E4F-8E4F-D44BA8EBF8FE}">
  <ds:schemaRefs/>
</ds:datastoreItem>
</file>

<file path=customXml/itemProps11.xml><?xml version="1.0" encoding="utf-8"?>
<ds:datastoreItem xmlns:ds="http://schemas.openxmlformats.org/officeDocument/2006/customXml" ds:itemID="{91FD09E1-C477-4016-B54A-837D7005F949}">
  <ds:schemaRefs/>
</ds:datastoreItem>
</file>

<file path=customXml/itemProps12.xml><?xml version="1.0" encoding="utf-8"?>
<ds:datastoreItem xmlns:ds="http://schemas.openxmlformats.org/officeDocument/2006/customXml" ds:itemID="{77EA7389-CE03-4E6A-842D-ED35E7897723}">
  <ds:schemaRefs/>
</ds:datastoreItem>
</file>

<file path=customXml/itemProps13.xml><?xml version="1.0" encoding="utf-8"?>
<ds:datastoreItem xmlns:ds="http://schemas.openxmlformats.org/officeDocument/2006/customXml" ds:itemID="{6AA8B7AD-2172-42EA-835B-306C7A40255E}">
  <ds:schemaRefs/>
</ds:datastoreItem>
</file>

<file path=customXml/itemProps14.xml><?xml version="1.0" encoding="utf-8"?>
<ds:datastoreItem xmlns:ds="http://schemas.openxmlformats.org/officeDocument/2006/customXml" ds:itemID="{9E0292F8-0203-401C-B67E-89256E24F279}">
  <ds:schemaRefs/>
</ds:datastoreItem>
</file>

<file path=customXml/itemProps15.xml><?xml version="1.0" encoding="utf-8"?>
<ds:datastoreItem xmlns:ds="http://schemas.openxmlformats.org/officeDocument/2006/customXml" ds:itemID="{AB93C031-82F8-4644-9E60-71099EC32028}">
  <ds:schemaRefs/>
</ds:datastoreItem>
</file>

<file path=customXml/itemProps16.xml><?xml version="1.0" encoding="utf-8"?>
<ds:datastoreItem xmlns:ds="http://schemas.openxmlformats.org/officeDocument/2006/customXml" ds:itemID="{9417EEE7-D8A4-4D63-9176-589BC5045CB8}">
  <ds:schemaRefs>
    <ds:schemaRef ds:uri="http://schemas.microsoft.com/DataMashup"/>
  </ds:schemaRefs>
</ds:datastoreItem>
</file>

<file path=customXml/itemProps17.xml><?xml version="1.0" encoding="utf-8"?>
<ds:datastoreItem xmlns:ds="http://schemas.openxmlformats.org/officeDocument/2006/customXml" ds:itemID="{5E07A10D-0307-4435-A718-9EB4F6F316DC}">
  <ds:schemaRefs/>
</ds:datastoreItem>
</file>

<file path=customXml/itemProps18.xml><?xml version="1.0" encoding="utf-8"?>
<ds:datastoreItem xmlns:ds="http://schemas.openxmlformats.org/officeDocument/2006/customXml" ds:itemID="{290ADBF5-2509-4E82-8090-47635BA42D8F}">
  <ds:schemaRefs/>
</ds:datastoreItem>
</file>

<file path=customXml/itemProps19.xml><?xml version="1.0" encoding="utf-8"?>
<ds:datastoreItem xmlns:ds="http://schemas.openxmlformats.org/officeDocument/2006/customXml" ds:itemID="{F0D35C22-CF2B-4020-9E6A-817C907F375D}">
  <ds:schemaRefs/>
</ds:datastoreItem>
</file>

<file path=customXml/itemProps2.xml><?xml version="1.0" encoding="utf-8"?>
<ds:datastoreItem xmlns:ds="http://schemas.openxmlformats.org/officeDocument/2006/customXml" ds:itemID="{2E2E240A-867B-4E0F-8508-D82BD6F5DAE9}">
  <ds:schemaRefs/>
</ds:datastoreItem>
</file>

<file path=customXml/itemProps20.xml><?xml version="1.0" encoding="utf-8"?>
<ds:datastoreItem xmlns:ds="http://schemas.openxmlformats.org/officeDocument/2006/customXml" ds:itemID="{8A8B1D64-74E0-4540-B04C-5991F28D3FAD}">
  <ds:schemaRefs/>
</ds:datastoreItem>
</file>

<file path=customXml/itemProps21.xml><?xml version="1.0" encoding="utf-8"?>
<ds:datastoreItem xmlns:ds="http://schemas.openxmlformats.org/officeDocument/2006/customXml" ds:itemID="{4577A566-4675-4989-868F-4804D23A1A52}">
  <ds:schemaRefs/>
</ds:datastoreItem>
</file>

<file path=customXml/itemProps22.xml><?xml version="1.0" encoding="utf-8"?>
<ds:datastoreItem xmlns:ds="http://schemas.openxmlformats.org/officeDocument/2006/customXml" ds:itemID="{B8F3395F-DB1C-4D72-AB0E-7D1AB6B70028}">
  <ds:schemaRefs/>
</ds:datastoreItem>
</file>

<file path=customXml/itemProps23.xml><?xml version="1.0" encoding="utf-8"?>
<ds:datastoreItem xmlns:ds="http://schemas.openxmlformats.org/officeDocument/2006/customXml" ds:itemID="{E43E7978-DB8E-4BE5-BFD7-2EEAAE2A1800}">
  <ds:schemaRefs/>
</ds:datastoreItem>
</file>

<file path=customXml/itemProps24.xml><?xml version="1.0" encoding="utf-8"?>
<ds:datastoreItem xmlns:ds="http://schemas.openxmlformats.org/officeDocument/2006/customXml" ds:itemID="{FE856F30-8D4B-4DB7-85FE-024FA66F1B5D}">
  <ds:schemaRefs/>
</ds:datastoreItem>
</file>

<file path=customXml/itemProps25.xml><?xml version="1.0" encoding="utf-8"?>
<ds:datastoreItem xmlns:ds="http://schemas.openxmlformats.org/officeDocument/2006/customXml" ds:itemID="{AE47E6F9-495E-4336-A23B-F03B60864A71}">
  <ds:schemaRefs/>
</ds:datastoreItem>
</file>

<file path=customXml/itemProps26.xml><?xml version="1.0" encoding="utf-8"?>
<ds:datastoreItem xmlns:ds="http://schemas.openxmlformats.org/officeDocument/2006/customXml" ds:itemID="{7CAAF74C-F3D7-4C93-BD94-09752874A0E9}">
  <ds:schemaRefs/>
</ds:datastoreItem>
</file>

<file path=customXml/itemProps27.xml><?xml version="1.0" encoding="utf-8"?>
<ds:datastoreItem xmlns:ds="http://schemas.openxmlformats.org/officeDocument/2006/customXml" ds:itemID="{4D035B9D-595B-4942-BBB1-2961D1D3CA02}">
  <ds:schemaRefs/>
</ds:datastoreItem>
</file>

<file path=customXml/itemProps28.xml><?xml version="1.0" encoding="utf-8"?>
<ds:datastoreItem xmlns:ds="http://schemas.openxmlformats.org/officeDocument/2006/customXml" ds:itemID="{9607DE82-F013-41AC-B020-767672E0EEF1}">
  <ds:schemaRefs/>
</ds:datastoreItem>
</file>

<file path=customXml/itemProps29.xml><?xml version="1.0" encoding="utf-8"?>
<ds:datastoreItem xmlns:ds="http://schemas.openxmlformats.org/officeDocument/2006/customXml" ds:itemID="{013EEDDE-DAD3-49C2-87D4-B132B1C9CBC9}">
  <ds:schemaRefs/>
</ds:datastoreItem>
</file>

<file path=customXml/itemProps3.xml><?xml version="1.0" encoding="utf-8"?>
<ds:datastoreItem xmlns:ds="http://schemas.openxmlformats.org/officeDocument/2006/customXml" ds:itemID="{974DAA77-9367-483E-A9E6-40E83AC676D4}">
  <ds:schemaRefs/>
</ds:datastoreItem>
</file>

<file path=customXml/itemProps30.xml><?xml version="1.0" encoding="utf-8"?>
<ds:datastoreItem xmlns:ds="http://schemas.openxmlformats.org/officeDocument/2006/customXml" ds:itemID="{8538B3D3-AC5B-4C2B-A22E-6CA908BE6F5B}">
  <ds:schemaRefs/>
</ds:datastoreItem>
</file>

<file path=customXml/itemProps31.xml><?xml version="1.0" encoding="utf-8"?>
<ds:datastoreItem xmlns:ds="http://schemas.openxmlformats.org/officeDocument/2006/customXml" ds:itemID="{59115DFF-554B-4E0C-AC22-2A176AF2F9B5}">
  <ds:schemaRefs/>
</ds:datastoreItem>
</file>

<file path=customXml/itemProps32.xml><?xml version="1.0" encoding="utf-8"?>
<ds:datastoreItem xmlns:ds="http://schemas.openxmlformats.org/officeDocument/2006/customXml" ds:itemID="{DC1DAAFF-5BA5-46F6-B80C-AA654A246FD2}">
  <ds:schemaRefs/>
</ds:datastoreItem>
</file>

<file path=customXml/itemProps33.xml><?xml version="1.0" encoding="utf-8"?>
<ds:datastoreItem xmlns:ds="http://schemas.openxmlformats.org/officeDocument/2006/customXml" ds:itemID="{649CF30E-6BEC-4AED-A5D4-594BCA2FE392}">
  <ds:schemaRefs/>
</ds:datastoreItem>
</file>

<file path=customXml/itemProps34.xml><?xml version="1.0" encoding="utf-8"?>
<ds:datastoreItem xmlns:ds="http://schemas.openxmlformats.org/officeDocument/2006/customXml" ds:itemID="{5310C7D7-6108-4F9F-8743-FA2C103E5660}">
  <ds:schemaRefs/>
</ds:datastoreItem>
</file>

<file path=customXml/itemProps35.xml><?xml version="1.0" encoding="utf-8"?>
<ds:datastoreItem xmlns:ds="http://schemas.openxmlformats.org/officeDocument/2006/customXml" ds:itemID="{7718C93D-265A-4345-8895-1B45D91A46AC}">
  <ds:schemaRefs/>
</ds:datastoreItem>
</file>

<file path=customXml/itemProps36.xml><?xml version="1.0" encoding="utf-8"?>
<ds:datastoreItem xmlns:ds="http://schemas.openxmlformats.org/officeDocument/2006/customXml" ds:itemID="{736586D9-D349-4818-9D70-C8D9C2EEA2E9}">
  <ds:schemaRefs/>
</ds:datastoreItem>
</file>

<file path=customXml/itemProps37.xml><?xml version="1.0" encoding="utf-8"?>
<ds:datastoreItem xmlns:ds="http://schemas.openxmlformats.org/officeDocument/2006/customXml" ds:itemID="{A704F69A-D368-450F-ACF3-AA7770C99BCF}">
  <ds:schemaRefs/>
</ds:datastoreItem>
</file>

<file path=customXml/itemProps38.xml><?xml version="1.0" encoding="utf-8"?>
<ds:datastoreItem xmlns:ds="http://schemas.openxmlformats.org/officeDocument/2006/customXml" ds:itemID="{D8A22CB8-7FB0-4CBC-84EA-51DE404BF49C}">
  <ds:schemaRefs/>
</ds:datastoreItem>
</file>

<file path=customXml/itemProps39.xml><?xml version="1.0" encoding="utf-8"?>
<ds:datastoreItem xmlns:ds="http://schemas.openxmlformats.org/officeDocument/2006/customXml" ds:itemID="{F277D3D4-2DDB-46F1-8074-A80C317BB8E6}">
  <ds:schemaRefs/>
</ds:datastoreItem>
</file>

<file path=customXml/itemProps4.xml><?xml version="1.0" encoding="utf-8"?>
<ds:datastoreItem xmlns:ds="http://schemas.openxmlformats.org/officeDocument/2006/customXml" ds:itemID="{229585CC-BEDE-4322-883F-FD626E404187}">
  <ds:schemaRefs/>
</ds:datastoreItem>
</file>

<file path=customXml/itemProps40.xml><?xml version="1.0" encoding="utf-8"?>
<ds:datastoreItem xmlns:ds="http://schemas.openxmlformats.org/officeDocument/2006/customXml" ds:itemID="{28C77926-ED35-44BD-8646-00621EF2DB67}">
  <ds:schemaRefs/>
</ds:datastoreItem>
</file>

<file path=customXml/itemProps41.xml><?xml version="1.0" encoding="utf-8"?>
<ds:datastoreItem xmlns:ds="http://schemas.openxmlformats.org/officeDocument/2006/customXml" ds:itemID="{682FEECD-FB86-4367-A71B-30D642A30A62}">
  <ds:schemaRefs/>
</ds:datastoreItem>
</file>

<file path=customXml/itemProps42.xml><?xml version="1.0" encoding="utf-8"?>
<ds:datastoreItem xmlns:ds="http://schemas.openxmlformats.org/officeDocument/2006/customXml" ds:itemID="{33A912A1-F195-46E2-8408-BB09327B0424}">
  <ds:schemaRefs/>
</ds:datastoreItem>
</file>

<file path=customXml/itemProps43.xml><?xml version="1.0" encoding="utf-8"?>
<ds:datastoreItem xmlns:ds="http://schemas.openxmlformats.org/officeDocument/2006/customXml" ds:itemID="{F8127945-1535-40EF-BC47-0BA9DC90814C}">
  <ds:schemaRefs/>
</ds:datastoreItem>
</file>

<file path=customXml/itemProps44.xml><?xml version="1.0" encoding="utf-8"?>
<ds:datastoreItem xmlns:ds="http://schemas.openxmlformats.org/officeDocument/2006/customXml" ds:itemID="{FFC85C7E-B9F9-448D-911E-54F0268CC05B}">
  <ds:schemaRefs/>
</ds:datastoreItem>
</file>

<file path=customXml/itemProps45.xml><?xml version="1.0" encoding="utf-8"?>
<ds:datastoreItem xmlns:ds="http://schemas.openxmlformats.org/officeDocument/2006/customXml" ds:itemID="{9E84CD32-9282-44A9-85FB-626F34EF409C}">
  <ds:schemaRefs/>
</ds:datastoreItem>
</file>

<file path=customXml/itemProps46.xml><?xml version="1.0" encoding="utf-8"?>
<ds:datastoreItem xmlns:ds="http://schemas.openxmlformats.org/officeDocument/2006/customXml" ds:itemID="{8FCED48E-C043-46B9-91E4-2A7ADE28E3A3}">
  <ds:schemaRefs/>
</ds:datastoreItem>
</file>

<file path=customXml/itemProps47.xml><?xml version="1.0" encoding="utf-8"?>
<ds:datastoreItem xmlns:ds="http://schemas.openxmlformats.org/officeDocument/2006/customXml" ds:itemID="{6FC79D03-DB6A-42CF-89EF-F9DFB30891C0}">
  <ds:schemaRefs/>
</ds:datastoreItem>
</file>

<file path=customXml/itemProps48.xml><?xml version="1.0" encoding="utf-8"?>
<ds:datastoreItem xmlns:ds="http://schemas.openxmlformats.org/officeDocument/2006/customXml" ds:itemID="{D44ED890-54AF-4875-A3B3-4E0F4012E728}">
  <ds:schemaRefs/>
</ds:datastoreItem>
</file>

<file path=customXml/itemProps49.xml><?xml version="1.0" encoding="utf-8"?>
<ds:datastoreItem xmlns:ds="http://schemas.openxmlformats.org/officeDocument/2006/customXml" ds:itemID="{236FF3C6-B531-4732-BA97-D477EFB2AFA0}">
  <ds:schemaRefs/>
</ds:datastoreItem>
</file>

<file path=customXml/itemProps5.xml><?xml version="1.0" encoding="utf-8"?>
<ds:datastoreItem xmlns:ds="http://schemas.openxmlformats.org/officeDocument/2006/customXml" ds:itemID="{6B596218-66F3-4132-9B7A-2B704918A4C9}">
  <ds:schemaRefs/>
</ds:datastoreItem>
</file>

<file path=customXml/itemProps50.xml><?xml version="1.0" encoding="utf-8"?>
<ds:datastoreItem xmlns:ds="http://schemas.openxmlformats.org/officeDocument/2006/customXml" ds:itemID="{0F0CF269-9E01-472E-8811-B4547EE4E465}">
  <ds:schemaRefs/>
</ds:datastoreItem>
</file>

<file path=customXml/itemProps6.xml><?xml version="1.0" encoding="utf-8"?>
<ds:datastoreItem xmlns:ds="http://schemas.openxmlformats.org/officeDocument/2006/customXml" ds:itemID="{5796C37C-DC41-42D3-A948-A6B708419A1B}">
  <ds:schemaRefs/>
</ds:datastoreItem>
</file>

<file path=customXml/itemProps7.xml><?xml version="1.0" encoding="utf-8"?>
<ds:datastoreItem xmlns:ds="http://schemas.openxmlformats.org/officeDocument/2006/customXml" ds:itemID="{D94C4D4E-C34B-4410-AFEF-CD716F6B9C38}">
  <ds:schemaRefs/>
</ds:datastoreItem>
</file>

<file path=customXml/itemProps8.xml><?xml version="1.0" encoding="utf-8"?>
<ds:datastoreItem xmlns:ds="http://schemas.openxmlformats.org/officeDocument/2006/customXml" ds:itemID="{F6778498-939A-4D05-B375-E5F4294FBA2E}">
  <ds:schemaRefs/>
</ds:datastoreItem>
</file>

<file path=customXml/itemProps9.xml><?xml version="1.0" encoding="utf-8"?>
<ds:datastoreItem xmlns:ds="http://schemas.openxmlformats.org/officeDocument/2006/customXml" ds:itemID="{B00659DA-F31D-4674-9DD4-BA4B967169A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Executive Summary View</vt:lpstr>
      <vt:lpstr>Loan Quality &amp; Risk Overview</vt:lpstr>
      <vt:lpstr>Fraud &amp; Anomaly Detection</vt:lpstr>
      <vt:lpstr>Economic &amp; Geo View</vt:lpstr>
      <vt:lpstr>Sheet Design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SUNNY KUMAR YADAV</cp:lastModifiedBy>
  <dcterms:created xsi:type="dcterms:W3CDTF">2015-06-05T18:17:20Z</dcterms:created>
  <dcterms:modified xsi:type="dcterms:W3CDTF">2025-05-12T13:06:43Z</dcterms:modified>
</cp:coreProperties>
</file>